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atriacloud-my.sharepoint.com/personal/tomi_karsikas_atria_com/Documents/Tiedostot/Katelaskelmat/Säilörehun tuotantokustannus/"/>
    </mc:Choice>
  </mc:AlternateContent>
  <xr:revisionPtr revIDLastSave="139" documentId="8_{D1E1A57D-4068-4A1C-A5F3-865101687B31}" xr6:coauthVersionLast="46" xr6:coauthVersionMax="46" xr10:uidLastSave="{27A7F87F-73A3-4146-AF26-53DA68FDA196}"/>
  <workbookProtection workbookAlgorithmName="SHA-512" workbookHashValue="P67Zc1pkSK6EPVhl8snnb08u67JcRFeE9eYVFI3emLoFkFTMKivIn5Uy0ccWmz6Im9anCrGG2QnEfJvqxEf67g==" workbookSaltValue="vtP1Q7CjNb/0sTzVrAZiBg==" workbookSpinCount="100000" lockStructure="1"/>
  <bookViews>
    <workbookView xWindow="-108" yWindow="-108" windowWidth="30936" windowHeight="16896" activeTab="1" xr2:uid="{00000000-000D-0000-FFFF-FFFF00000000}"/>
  </bookViews>
  <sheets>
    <sheet name="Saate" sheetId="5" r:id="rId1"/>
    <sheet name="Laitumen sadon arviointia" sheetId="3" r:id="rId2"/>
    <sheet name="Taustalaskenta" sheetId="4" state="hidden" r:id="rId3"/>
    <sheet name="Syöntikaavat" sheetId="2" r:id="rId4"/>
  </sheets>
  <definedNames>
    <definedName name="_xlnm.Print_Area" localSheetId="1">'Laitumen sadon arviointia'!$A$1:$G$92</definedName>
    <definedName name="_xlnm.Print_Area" localSheetId="2">Taustalaskenta!$A$1:$G$239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3" l="1"/>
  <c r="D77" i="3" l="1"/>
  <c r="D128" i="4"/>
  <c r="D132" i="4" s="1"/>
  <c r="D127" i="4"/>
  <c r="D126" i="4"/>
  <c r="F76" i="4"/>
  <c r="F69" i="4"/>
  <c r="F126" i="4" s="1"/>
  <c r="F68" i="4"/>
  <c r="F62" i="4"/>
  <c r="F61" i="4"/>
  <c r="F58" i="4"/>
  <c r="F57" i="4"/>
  <c r="F56" i="4"/>
  <c r="F30" i="4"/>
  <c r="F29" i="4"/>
  <c r="F179" i="4" s="1"/>
  <c r="F220" i="4" s="1"/>
  <c r="F28" i="4"/>
  <c r="F27" i="4"/>
  <c r="F26" i="4"/>
  <c r="L6" i="4" s="1"/>
  <c r="F25" i="4"/>
  <c r="L5" i="4" s="1"/>
  <c r="F18" i="4"/>
  <c r="F13" i="4"/>
  <c r="F12" i="4"/>
  <c r="F10" i="4"/>
  <c r="F9" i="4"/>
  <c r="K6" i="4"/>
  <c r="K5" i="4"/>
  <c r="D76" i="4"/>
  <c r="D69" i="4"/>
  <c r="D68" i="4"/>
  <c r="D62" i="4"/>
  <c r="D61" i="4"/>
  <c r="D58" i="4"/>
  <c r="D57" i="4"/>
  <c r="D56" i="4"/>
  <c r="D30" i="4"/>
  <c r="D180" i="4" s="1"/>
  <c r="D235" i="4" s="1"/>
  <c r="D29" i="4"/>
  <c r="D28" i="4"/>
  <c r="D27" i="4"/>
  <c r="D26" i="4"/>
  <c r="D173" i="4" s="1"/>
  <c r="D25" i="4"/>
  <c r="D18" i="4"/>
  <c r="D13" i="4"/>
  <c r="D12" i="4"/>
  <c r="D10" i="4"/>
  <c r="D9" i="4"/>
  <c r="K5" i="3"/>
  <c r="F232" i="4"/>
  <c r="D232" i="4"/>
  <c r="F231" i="4"/>
  <c r="D231" i="4"/>
  <c r="F217" i="4"/>
  <c r="D217" i="4"/>
  <c r="F216" i="4"/>
  <c r="D216" i="4"/>
  <c r="F206" i="4"/>
  <c r="F208" i="4" s="1"/>
  <c r="D206" i="4"/>
  <c r="D208" i="4" s="1"/>
  <c r="F205" i="4"/>
  <c r="D205" i="4"/>
  <c r="F202" i="4"/>
  <c r="D202" i="4"/>
  <c r="F201" i="4"/>
  <c r="D201" i="4"/>
  <c r="F192" i="4"/>
  <c r="D192" i="4"/>
  <c r="F189" i="4"/>
  <c r="D189" i="4"/>
  <c r="F188" i="4"/>
  <c r="D188" i="4"/>
  <c r="F180" i="4"/>
  <c r="F235" i="4" s="1"/>
  <c r="D179" i="4"/>
  <c r="D220" i="4" s="1"/>
  <c r="F174" i="4"/>
  <c r="F173" i="4"/>
  <c r="F127" i="4"/>
  <c r="F117" i="4"/>
  <c r="D117" i="4"/>
  <c r="F104" i="4"/>
  <c r="F70" i="4"/>
  <c r="D70" i="4"/>
  <c r="F15" i="4"/>
  <c r="D11" i="3"/>
  <c r="D55" i="3" s="1"/>
  <c r="D130" i="4" l="1"/>
  <c r="D59" i="4"/>
  <c r="F128" i="4"/>
  <c r="F132" i="4" s="1"/>
  <c r="F59" i="4"/>
  <c r="F103" i="4"/>
  <c r="F98" i="4"/>
  <c r="F105" i="4"/>
  <c r="F171" i="4" s="1"/>
  <c r="F175" i="4" s="1"/>
  <c r="F221" i="4" s="1"/>
  <c r="F223" i="4" s="1"/>
  <c r="F11" i="4"/>
  <c r="F172" i="4" s="1"/>
  <c r="D174" i="4"/>
  <c r="D15" i="4"/>
  <c r="D31" i="4" s="1"/>
  <c r="D98" i="4"/>
  <c r="D97" i="4"/>
  <c r="D101" i="4" s="1"/>
  <c r="D104" i="4"/>
  <c r="D11" i="4"/>
  <c r="D55" i="4" s="1"/>
  <c r="D103" i="4"/>
  <c r="F145" i="4"/>
  <c r="F147" i="4" s="1"/>
  <c r="D145" i="4"/>
  <c r="D147" i="4" s="1"/>
  <c r="F33" i="4"/>
  <c r="F32" i="4"/>
  <c r="F130" i="4"/>
  <c r="D131" i="4"/>
  <c r="F31" i="4"/>
  <c r="F131" i="4"/>
  <c r="D70" i="3"/>
  <c r="F14" i="4" l="1"/>
  <c r="F14" i="3"/>
  <c r="F55" i="4"/>
  <c r="F176" i="4"/>
  <c r="F236" i="4" s="1"/>
  <c r="F238" i="4" s="1"/>
  <c r="F97" i="4"/>
  <c r="F101" i="4" s="1"/>
  <c r="F135" i="4" s="1"/>
  <c r="F177" i="4"/>
  <c r="F193" i="4" s="1"/>
  <c r="F195" i="4" s="1"/>
  <c r="F99" i="4"/>
  <c r="F134" i="4" s="1"/>
  <c r="D100" i="4"/>
  <c r="D136" i="4" s="1"/>
  <c r="D32" i="4"/>
  <c r="D33" i="4"/>
  <c r="D135" i="4"/>
  <c r="D105" i="4"/>
  <c r="F146" i="4"/>
  <c r="F218" i="4" s="1"/>
  <c r="F222" i="4" s="1"/>
  <c r="F224" i="4" s="1"/>
  <c r="F226" i="4" s="1"/>
  <c r="D146" i="4"/>
  <c r="D218" i="4" s="1"/>
  <c r="D233" i="4"/>
  <c r="D190" i="4"/>
  <c r="F233" i="4"/>
  <c r="F190" i="4"/>
  <c r="D99" i="4" l="1"/>
  <c r="F100" i="4"/>
  <c r="D115" i="4"/>
  <c r="D119" i="4" s="1"/>
  <c r="F237" i="4"/>
  <c r="F194" i="4"/>
  <c r="F196" i="4" s="1"/>
  <c r="F37" i="4"/>
  <c r="F37" i="3"/>
  <c r="D14" i="4"/>
  <c r="F109" i="4"/>
  <c r="F110" i="4" s="1"/>
  <c r="F116" i="4" s="1"/>
  <c r="F118" i="4" s="1"/>
  <c r="F203" i="4"/>
  <c r="F207" i="4" s="1"/>
  <c r="F209" i="4" s="1"/>
  <c r="D171" i="4"/>
  <c r="D172" i="4" s="1"/>
  <c r="D177" i="4" s="1"/>
  <c r="D193" i="4" s="1"/>
  <c r="D195" i="4" s="1"/>
  <c r="D203" i="4"/>
  <c r="D207" i="4" s="1"/>
  <c r="D209" i="4" s="1"/>
  <c r="F239" i="4"/>
  <c r="D109" i="4"/>
  <c r="D110" i="4" s="1"/>
  <c r="D116" i="4" s="1"/>
  <c r="D118" i="4" s="1"/>
  <c r="D120" i="4" s="1"/>
  <c r="D36" i="3" s="1"/>
  <c r="D43" i="3" s="1"/>
  <c r="D102" i="4"/>
  <c r="F115" i="4"/>
  <c r="F136" i="4"/>
  <c r="F137" i="4" s="1"/>
  <c r="F114" i="4"/>
  <c r="F113" i="4"/>
  <c r="D134" i="4"/>
  <c r="D137" i="4" s="1"/>
  <c r="D50" i="3" s="1"/>
  <c r="F102" i="4"/>
  <c r="D15" i="3"/>
  <c r="F40" i="4" l="1"/>
  <c r="F40" i="3"/>
  <c r="F38" i="4"/>
  <c r="F38" i="3"/>
  <c r="D40" i="4"/>
  <c r="D40" i="3"/>
  <c r="D32" i="3"/>
  <c r="D33" i="3"/>
  <c r="F39" i="4"/>
  <c r="F39" i="3"/>
  <c r="F119" i="4"/>
  <c r="F120" i="4" s="1"/>
  <c r="F36" i="3" s="1"/>
  <c r="F211" i="4"/>
  <c r="D175" i="4"/>
  <c r="D221" i="4" s="1"/>
  <c r="D223" i="4" s="1"/>
  <c r="D194" i="4"/>
  <c r="D196" i="4" s="1"/>
  <c r="D176" i="4"/>
  <c r="D236" i="4" s="1"/>
  <c r="D211" i="4"/>
  <c r="F50" i="4"/>
  <c r="D36" i="4"/>
  <c r="D43" i="4" s="1"/>
  <c r="D121" i="4"/>
  <c r="D122" i="4" s="1"/>
  <c r="D139" i="4" s="1"/>
  <c r="D140" i="4" s="1"/>
  <c r="D50" i="4"/>
  <c r="D39" i="4" l="1"/>
  <c r="D39" i="3"/>
  <c r="F36" i="4"/>
  <c r="F43" i="4" s="1"/>
  <c r="F121" i="4"/>
  <c r="F122" i="4" s="1"/>
  <c r="F139" i="4" s="1"/>
  <c r="F140" i="4" s="1"/>
  <c r="D222" i="4"/>
  <c r="D224" i="4" s="1"/>
  <c r="D226" i="4" s="1"/>
  <c r="D238" i="4"/>
  <c r="D237" i="4"/>
  <c r="D51" i="4"/>
  <c r="D52" i="4" s="1"/>
  <c r="F51" i="4" l="1"/>
  <c r="F52" i="4" s="1"/>
  <c r="D37" i="4"/>
  <c r="D37" i="3"/>
  <c r="D239" i="4"/>
  <c r="D38" i="4" l="1"/>
  <c r="D38" i="3"/>
  <c r="F59" i="3"/>
  <c r="D59" i="3"/>
  <c r="F60" i="3"/>
  <c r="D60" i="3"/>
  <c r="D63" i="3" l="1"/>
  <c r="D60" i="4"/>
  <c r="D63" i="4" s="1"/>
  <c r="D64" i="4" s="1"/>
  <c r="F63" i="3"/>
  <c r="F60" i="4"/>
  <c r="F63" i="4" s="1"/>
  <c r="F64" i="4" s="1"/>
  <c r="L6" i="3"/>
  <c r="L5" i="3"/>
  <c r="K6" i="3"/>
  <c r="F19" i="3" l="1"/>
  <c r="F19" i="4" s="1"/>
  <c r="F44" i="4" s="1"/>
  <c r="D19" i="3"/>
  <c r="D19" i="4" s="1"/>
  <c r="D44" i="4" s="1"/>
  <c r="F22" i="3"/>
  <c r="F22" i="4" s="1"/>
  <c r="F47" i="4" s="1"/>
  <c r="D22" i="3"/>
  <c r="D22" i="4" s="1"/>
  <c r="D47" i="4" s="1"/>
  <c r="F21" i="3"/>
  <c r="F21" i="4" s="1"/>
  <c r="F46" i="4" s="1"/>
  <c r="D21" i="3"/>
  <c r="D21" i="4" s="1"/>
  <c r="D46" i="4" s="1"/>
  <c r="F70" i="3"/>
  <c r="F50" i="3" s="1"/>
  <c r="F20" i="3" l="1"/>
  <c r="F20" i="4" s="1"/>
  <c r="F45" i="4" s="1"/>
  <c r="F48" i="4" s="1"/>
  <c r="F65" i="4" s="1"/>
  <c r="F71" i="4" s="1"/>
  <c r="D20" i="3"/>
  <c r="D20" i="4" s="1"/>
  <c r="D45" i="4" s="1"/>
  <c r="D48" i="4" s="1"/>
  <c r="D65" i="4" s="1"/>
  <c r="D71" i="4" s="1"/>
  <c r="F73" i="4" l="1"/>
  <c r="F72" i="4"/>
  <c r="D73" i="4"/>
  <c r="D72" i="4"/>
  <c r="F15" i="3"/>
  <c r="F11" i="3"/>
  <c r="D74" i="4" l="1"/>
  <c r="D75" i="4" s="1"/>
  <c r="F74" i="4"/>
  <c r="D77" i="4"/>
  <c r="F32" i="3"/>
  <c r="F33" i="3"/>
  <c r="F75" i="4"/>
  <c r="F77" i="4"/>
  <c r="F55" i="3"/>
  <c r="F64" i="3" s="1"/>
  <c r="D64" i="3"/>
  <c r="F47" i="3"/>
  <c r="D31" i="3"/>
  <c r="F31" i="3"/>
  <c r="D47" i="3" l="1"/>
  <c r="D45" i="3" l="1"/>
  <c r="D46" i="3" l="1"/>
  <c r="F46" i="3"/>
  <c r="F44" i="3"/>
  <c r="D44" i="3"/>
  <c r="F45" i="3" l="1"/>
  <c r="D51" i="3"/>
  <c r="F43" i="3"/>
  <c r="F51" i="3" s="1"/>
  <c r="D48" i="3" l="1"/>
  <c r="D65" i="3" s="1"/>
  <c r="D52" i="3"/>
  <c r="F48" i="3"/>
  <c r="F65" i="3" s="1"/>
  <c r="F71" i="3" s="1"/>
  <c r="F73" i="3" s="1"/>
  <c r="F52" i="3"/>
  <c r="D71" i="3" l="1"/>
  <c r="D73" i="3" s="1"/>
  <c r="F72" i="3"/>
  <c r="D72" i="3" l="1"/>
  <c r="D74" i="3" s="1"/>
  <c r="D75" i="3" s="1"/>
  <c r="F74" i="3"/>
  <c r="F75" i="3" s="1"/>
  <c r="F7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Karsikas, Tomi</author>
  </authors>
  <commentList>
    <comment ref="D76" authorId="0" shapeId="0" xr:uid="{58F9318E-ABA2-4FB4-ACA2-A18334A63C23}">
      <text>
        <r>
          <rPr>
            <b/>
            <sz val="9"/>
            <color indexed="81"/>
            <rFont val="Tahoma"/>
            <family val="2"/>
          </rPr>
          <t>Karsikas, Tomi:</t>
        </r>
        <r>
          <rPr>
            <sz val="9"/>
            <color indexed="81"/>
            <rFont val="Tahoma"/>
            <family val="2"/>
          </rPr>
          <t xml:space="preserve">
Nostaa syödyn rehun määrää tämän verran suhteessa ravinnontarvenormien mukaiseen rehun määrään</t>
        </r>
      </text>
    </comment>
    <comment ref="F76" authorId="0" shapeId="0" xr:uid="{F7AD12A3-0851-4554-B53F-276FBCC49710}">
      <text>
        <r>
          <rPr>
            <b/>
            <sz val="9"/>
            <color indexed="81"/>
            <rFont val="Tahoma"/>
            <family val="2"/>
          </rPr>
          <t>Karsikas, Tomi:</t>
        </r>
        <r>
          <rPr>
            <sz val="9"/>
            <color indexed="81"/>
            <rFont val="Tahoma"/>
            <family val="2"/>
          </rPr>
          <t xml:space="preserve">
Nostaa syödyn rehun määrää tämän verran suhteessa ravinnontarvenormien mukaiseen rehun määrään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D149" authorId="0" shapeId="0" xr:uid="{02104DD7-0413-4DDF-8463-F9CC10023630}">
      <text>
        <r>
          <rPr>
            <b/>
            <u/>
            <sz val="8"/>
            <color indexed="81"/>
            <rFont val="Tahoma"/>
            <family val="2"/>
          </rPr>
          <t>Korjauskertoimet lisäkasvun energiantarpeen laskentaan eläinlajeittain</t>
        </r>
        <r>
          <rPr>
            <b/>
            <sz val="8"/>
            <color indexed="81"/>
            <rFont val="Tahoma"/>
            <family val="2"/>
          </rPr>
          <t xml:space="preserve">
- Hieho; pieni hyvin aikaisin kehittyvä rotu           = 1.30
- Hieho; keskikokoinen, aikaisin kehittyvä rotu   = 1.15
- Hieho; suuri myöhään kehittyvä rotu                   = 1.00
- Härkä; pieni hyvin aikaisin kehittyvä rotu          = 1.15
- Härkä; keskikokoinen, aikaisin kehittyvä rotu  = 1.00
- Härkä; suuri myöhään kehittyvä rotu                  = 0.85
- Sonni; pieni hyvin aikaisin kehittyvä rotu           = 1.00
- Sonni; keskikokoinen, aikaisin kehittyvä rotu   = 0.85
- Sonni; suuri myöhään kehittyvä rotu                   = 0.70
</t>
        </r>
      </text>
    </comment>
    <comment ref="F149" authorId="0" shapeId="0" xr:uid="{8F61A19F-F40B-442E-A3D9-5DC53F087810}">
      <text>
        <r>
          <rPr>
            <b/>
            <u/>
            <sz val="8"/>
            <color indexed="81"/>
            <rFont val="Tahoma"/>
            <family val="2"/>
          </rPr>
          <t>Korjauskertoimet lisäkasvun energiantarpeen laskentaan eläinlajeittain</t>
        </r>
        <r>
          <rPr>
            <b/>
            <sz val="8"/>
            <color indexed="81"/>
            <rFont val="Tahoma"/>
            <family val="2"/>
          </rPr>
          <t xml:space="preserve">
- Hieho; pieni hyvin aikaisin kehittyvä rotu           = 1.30
- Hieho; keskikokoinen, aikaisin kehittyvä rotu   = 1.15
- Hieho; suuri myöhään kehittyvä rotu                   = 1.00
- Härkä; pieni hyvin aikaisin kehittyvä rotu          = 1.15
- Härkä; keskikokoinen, aikaisin kehittyvä rotu  = 1.00
- Härkä; suuri myöhään kehittyvä rotu                  = 0.85
- Sonni; pieni hyvin aikaisin kehittyvä rotu           = 1.00
- Sonni; keskikokoinen, aikaisin kehittyvä rotu   = 0.85
- Sonni; suuri myöhään kehittyvä rotu                   = 0.70
</t>
        </r>
      </text>
    </comment>
    <comment ref="B185" authorId="0" shapeId="0" xr:uid="{5BC08372-F18B-4159-B61C-086EC2E5DFFE}">
      <text>
        <r>
          <rPr>
            <b/>
            <u/>
            <sz val="8"/>
            <color indexed="81"/>
            <rFont val="Tahoma"/>
            <family val="2"/>
          </rPr>
          <t xml:space="preserve">ME-tarpeen laskeminen ja RY-tarpeen laskeminen
</t>
        </r>
        <r>
          <rPr>
            <b/>
            <sz val="8"/>
            <color indexed="81"/>
            <rFont val="Tahoma"/>
            <family val="2"/>
          </rPr>
          <t xml:space="preserve">Tarvittavat </t>
        </r>
        <r>
          <rPr>
            <b/>
            <sz val="8"/>
            <color indexed="81"/>
            <rFont val="Tahoma"/>
            <family val="2"/>
          </rPr>
          <t xml:space="preserve">parametrit ovat: 
elopaino (elop, kg) lisäkasvu (lk, kg/d) sekä dieetin q-arvo (ME/BE), jolle olen käyttänyt oletusarvoa 0.60.
Lisäksi tarvitaan eläinlajikoodi, jonka perusteella tehdään korjaus sekä ylläpitotarpeeseen 
että lisäkasvun tarpeeseen. Kaikki muut kaavassa olevat tekijät on laskettu näistä muuttujista:
Muuttujat (muuttujan nimi, selitys, kaava):
- me (ME-tarve, MJ/d) = nem/(km*ln(km/kg))*ln((km/(km-kg))/(km/(km-kg)-neg/nem-1)) 
- nem (nettoenergian tarve NE, MJ/d) = 0.53*exp(0.67*ln((elop/1.08)))*yp.k+0.0071*elop
- neg (nettoenergian tarve kasvussa, MJ/d) = ((4.1+0.0332*elop-0.000009*elop*elop)/(1-0.1475*lk))*lk*lk.k
elop (elopaino, kg)
el.laji (eläinlajikoodi)
yp.k (ylläpitokerroin)
q (dieetin q-arvo, oletus 0.60) = 0.60
km (ME:n hyväksikäyttö ylläpidossa dieetin q-arvon funktiona) = 0.35*q+0.503
kg (ME:n hyväksikäyttö kasvussa dieetin q-arvon funktiona) = 0.78*q+0.006
lk.k (lisäkasvutarpeen korjauskerroin) = [el.laji@1.30,1.15,1.00,1.15,1.00,0.85,1.00,0.85,0.70]
lk (lisäkasvu, kg/d)
ry.tarve (RY-tarve/d) = me/11.7
Lähteet: (kaavat ja lähdeluettelot toimitti arvon rohvessoori, Mikko Tuori HY)
ARC80 (Agricultural Research Council). 1980. The nutrient requirements of ruminant livestock, technical review. 351 p.
AFRC90 (Agricultural and Food Research Council). 1990. AFRC Technical Committeeon Responses to Nutrients, Report Number 5, Nutritive Requirements of Ruminant
Animal: Energy. Nutrition Abstracts and Reviews (Series B), 60: 729-804.
</t>
        </r>
      </text>
    </comment>
    <comment ref="B187" authorId="0" shapeId="0" xr:uid="{78478673-20C0-448D-8963-C927AD8089CE}">
      <text>
        <r>
          <rPr>
            <b/>
            <sz val="8"/>
            <color indexed="81"/>
            <rFont val="Tahoma"/>
            <family val="2"/>
          </rPr>
          <t>q (dieetin q-arvo) oletus =  0.60
plaa,plaa,plaa</t>
        </r>
      </text>
    </comment>
    <comment ref="B188" authorId="0" shapeId="0" xr:uid="{8490B686-F2AB-40B6-A391-598D1EF2E7CF}">
      <text>
        <r>
          <rPr>
            <b/>
            <sz val="8"/>
            <color indexed="81"/>
            <rFont val="Tahoma"/>
            <family val="2"/>
          </rPr>
          <t>km (ME:n hyväksikäyttö ylläpidossa dieetin q-arvon funktiona) = 0.35*q+0.503</t>
        </r>
      </text>
    </comment>
    <comment ref="B189" authorId="0" shapeId="0" xr:uid="{1B7B5702-FBE4-4CCD-9394-B8A16B9172CC}">
      <text>
        <r>
          <rPr>
            <b/>
            <sz val="8"/>
            <color indexed="81"/>
            <rFont val="Tahoma"/>
            <family val="2"/>
          </rPr>
          <t>kg (ME:n hyväksikäyttö kasvussa dieetin q-arvon funktiona) = 0.78*q+0.006</t>
        </r>
      </text>
    </comment>
    <comment ref="B190" authorId="0" shapeId="0" xr:uid="{1AA12CB3-BC86-4A21-ACD9-ACD113036248}">
      <text>
        <r>
          <rPr>
            <b/>
            <sz val="8"/>
            <color indexed="81"/>
            <rFont val="Tahoma"/>
            <family val="2"/>
          </rPr>
          <t>lk.k (lisäkasvutarpeen korjauskerroin) = [el.laji@1.30,1.15,1.00,1.15,1.00,0.85,1.00,0.85,0.70]</t>
        </r>
      </text>
    </comment>
    <comment ref="D190" authorId="0" shapeId="0" xr:uid="{939F805B-99FC-4D79-9D3C-ECD9822F93FD}">
      <text>
        <r>
          <rPr>
            <b/>
            <u/>
            <sz val="8"/>
            <color indexed="81"/>
            <rFont val="Tahoma"/>
            <family val="2"/>
          </rPr>
          <t>Korjauskertoimet lisäkasvun energiantarpeen laskentaan eläinlajeittain</t>
        </r>
        <r>
          <rPr>
            <b/>
            <sz val="8"/>
            <color indexed="81"/>
            <rFont val="Tahoma"/>
            <family val="2"/>
          </rPr>
          <t xml:space="preserve">
- Hieho; pieni hyvin aikaisin kehittyvä rotu           = 1.30
- Hieho; keskikokoinen, aikaisin kehittyvä rotu   = 1.15
- Hieho; suuri myöhään kehittyvä rotu                   = 1.00
- Härkä; pieni hyvin aikaisin kehittyvä rotu          = 1.15
- Härkä; keskikokoinen, aikaisin kehittyvä rotu  = 1.00
- Härkä; suuri myöhään kehittyvä rotu                  = 0.85
- Sonni; pieni hyvin aikaisin kehittyvä rotu           = 1.00
- Sonni; keskikokoinen, aikaisin kehittyvä rotu   = 0.85
- Sonni; suuri myöhään kehittyvä rotu                   = 0.70
</t>
        </r>
      </text>
    </comment>
    <comment ref="F190" authorId="0" shapeId="0" xr:uid="{EB18029C-CF61-42CD-99C7-293D7E0D118E}">
      <text>
        <r>
          <rPr>
            <b/>
            <u/>
            <sz val="8"/>
            <color indexed="81"/>
            <rFont val="Tahoma"/>
            <family val="2"/>
          </rPr>
          <t>Korjauskertoimet lisäkasvun energiantarpeen laskentaan eläinlajeittain</t>
        </r>
        <r>
          <rPr>
            <b/>
            <sz val="8"/>
            <color indexed="81"/>
            <rFont val="Tahoma"/>
            <family val="2"/>
          </rPr>
          <t xml:space="preserve">
- Hieho; pieni hyvin aikaisin kehittyvä rotu           = 1.30
- Hieho; keskikokoinen, aikaisin kehittyvä rotu   = 1.15
- Hieho; suuri myöhään kehittyvä rotu                   = 1.00
- Härkä; pieni hyvin aikaisin kehittyvä rotu          = 1.15
- Härkä; keskikokoinen, aikaisin kehittyvä rotu  = 1.00
- Härkä; suuri myöhään kehittyvä rotu                  = 0.85
- Sonni; pieni hyvin aikaisin kehittyvä rotu           = 1.00
- Sonni; keskikokoinen, aikaisin kehittyvä rotu   = 0.85
- Sonni; suuri myöhään kehittyvä rotu                   = 0.70
</t>
        </r>
      </text>
    </comment>
    <comment ref="B191" authorId="0" shapeId="0" xr:uid="{9063F923-282F-4542-9A0A-273E89EF8222}">
      <text>
        <r>
          <rPr>
            <b/>
            <sz val="8"/>
            <color indexed="81"/>
            <rFont val="Tahoma"/>
            <family val="2"/>
          </rPr>
          <t>yp.k (ylläpitokerroin)</t>
        </r>
      </text>
    </comment>
    <comment ref="D191" authorId="0" shapeId="0" xr:uid="{57D1A964-134E-4B35-BA35-0994B55ED15A}">
      <text>
        <r>
          <rPr>
            <b/>
            <u/>
            <sz val="8"/>
            <color indexed="81"/>
            <rFont val="Tahoma"/>
            <family val="2"/>
          </rPr>
          <t xml:space="preserve">Korjauskertoimet ylläpidon energiantarpeen laskentaan
</t>
        </r>
        <r>
          <rPr>
            <b/>
            <sz val="8"/>
            <color indexed="81"/>
            <rFont val="Tahoma"/>
            <family val="2"/>
          </rPr>
          <t>- Hiehot  =1,00
- Härät    =1,00
- Sonnit   =1,15</t>
        </r>
      </text>
    </comment>
    <comment ref="F191" authorId="0" shapeId="0" xr:uid="{DF8906CC-A57E-4CB1-BD38-33199AB6B811}">
      <text>
        <r>
          <rPr>
            <b/>
            <u/>
            <sz val="8"/>
            <color indexed="81"/>
            <rFont val="Tahoma"/>
            <family val="2"/>
          </rPr>
          <t xml:space="preserve">Korjauskertoimet ylläpidon energiantarpeen laskentaan
</t>
        </r>
        <r>
          <rPr>
            <b/>
            <sz val="8"/>
            <color indexed="81"/>
            <rFont val="Tahoma"/>
            <family val="2"/>
          </rPr>
          <t>- Hiehot  =1,00
- Härät    =1,00
- Sonnit   =1,15</t>
        </r>
      </text>
    </comment>
    <comment ref="B192" authorId="0" shapeId="0" xr:uid="{3B524A1C-EC01-4125-9C48-7B66131D0DDD}">
      <text>
        <r>
          <rPr>
            <b/>
            <sz val="8"/>
            <color indexed="81"/>
            <rFont val="Tahoma"/>
            <family val="2"/>
          </rPr>
          <t>lk (lisäkasvu, kg/d)</t>
        </r>
      </text>
    </comment>
    <comment ref="B193" authorId="0" shapeId="0" xr:uid="{21615FC7-87EF-4137-A75C-B338323C19D3}">
      <text>
        <r>
          <rPr>
            <b/>
            <sz val="8"/>
            <color indexed="81"/>
            <rFont val="Tahoma"/>
            <family val="2"/>
          </rPr>
          <t>elop (elopaino, kg)</t>
        </r>
      </text>
    </comment>
    <comment ref="B194" authorId="0" shapeId="0" xr:uid="{D8F5EE54-97D0-439F-A655-6E94828639EE}">
      <text>
        <r>
          <rPr>
            <b/>
            <sz val="8"/>
            <color indexed="81"/>
            <rFont val="Tahoma"/>
            <family val="2"/>
          </rPr>
          <t xml:space="preserve">- neg (nettoenergian tarve kasvussa, MJ/d) = ((4.1+0.0332*elop-0.000009*elop*elop)/(1-0.1475*lk))*lk*lk.k
</t>
        </r>
      </text>
    </comment>
    <comment ref="B195" authorId="0" shapeId="0" xr:uid="{EE239B4D-233C-499A-8AAE-033DEC2EDB74}">
      <text>
        <r>
          <rPr>
            <b/>
            <sz val="8"/>
            <color indexed="81"/>
            <rFont val="Tahoma"/>
            <family val="2"/>
          </rPr>
          <t>- nem (nettoenergian tarve NE, MJ/d) = 0.53*exp(0.67*ln((elop/1.08)))*yp.k+0.0071*elop</t>
        </r>
      </text>
    </comment>
    <comment ref="B196" authorId="0" shapeId="0" xr:uid="{22C3F426-7199-446F-9EE7-E398B8F451A0}">
      <text>
        <r>
          <rPr>
            <b/>
            <sz val="8"/>
            <color indexed="81"/>
            <rFont val="Tahoma"/>
            <family val="2"/>
          </rPr>
          <t xml:space="preserve">- me (ME-tarve, MJ/d) = nem/(km*ln(km/kg))*ln((km/(km-kg))/(km/(km-kg)-neg/nem-1)) </t>
        </r>
      </text>
    </comment>
    <comment ref="B198" authorId="0" shapeId="0" xr:uid="{ADA2A7E6-2DA4-469A-A853-EDADBA0480F6}">
      <text>
        <r>
          <rPr>
            <b/>
            <u/>
            <sz val="8"/>
            <color indexed="81"/>
            <rFont val="Tahoma"/>
            <family val="2"/>
          </rPr>
          <t xml:space="preserve">ME-tarpeen laskeminen ja RY-tarpeen laskeminen
</t>
        </r>
        <r>
          <rPr>
            <b/>
            <sz val="8"/>
            <color indexed="81"/>
            <rFont val="Tahoma"/>
            <family val="2"/>
          </rPr>
          <t xml:space="preserve">Tarvittavat </t>
        </r>
        <r>
          <rPr>
            <b/>
            <sz val="8"/>
            <color indexed="81"/>
            <rFont val="Tahoma"/>
            <family val="2"/>
          </rPr>
          <t xml:space="preserve">parametrit ovat: 
elopaino (elop, kg) lisäkasvu (lk, kg/d) sekä dieetin q-arvo (ME/BE), jolle olen käyttänyt oletusarvoa 0.60.
Lisäksi tarvitaan eläinlajikoodi, jonka perusteella tehdään korjaus sekä ylläpitotarpeeseen 
että lisäkasvun tarpeeseen. Kaikki muut kaavassa olevat tekijät on laskettu näistä muuttujista:
Muuttujat (muuttujan nimi, selitys, kaava):
- me (ME-tarve, MJ/d) = nem/(km*ln(km/kg))*ln((km/(km-kg))/(km/(km-kg)-neg/nem-1)) 
- nem (nettoenergian tarve NE, MJ/d) = 0.53*exp(0.67*ln((elop/1.08)))*yp.k+0.0071*elop
- neg (nettoenergian tarve kasvussa, MJ/d) = ((4.1+0.0332*elop-0.000009*elop*elop)/(1-0.1475*lk))*lk*lk.k
elop (elopaino, kg)
el.laji (eläinlajikoodi)
yp.k (ylläpitokerroin)
q (dieetin q-arvo, oletus 0.60) = 0.60
km (ME:n hyväksikäyttö ylläpidossa dieetin q-arvon funktiona) = 0.35*q+0.503
kg (ME:n hyväksikäyttö kasvussa dieetin q-arvon funktiona) = 0.78*q+0.006
lk.k (lisäkasvutarpeen korjauskerroin) = [el.laji@1.30,1.15,1.00,1.15,1.00,0.85,1.00,0.85,0.70]
lk (lisäkasvu, kg/d)
ry.tarve (RY-tarve/d) = me/11.7
Lähteet: (kaavat ja lähdeluettelot toimitti arvon rohvessoori, Mikko Tuori HY)
ARC80 (Agricultural Research Council). 1980. The nutrient requirements of ruminant livestock, technical review. 351 p.
AFRC90 (Agricultural and Food Research Council). 1990. AFRC Technical Committeeon Responses to Nutrients, Report Number 5, Nutritive Requirements of Ruminant
Animal: Energy. Nutrition Abstracts and Reviews (Series B), 60: 729-804.
</t>
        </r>
      </text>
    </comment>
    <comment ref="B200" authorId="0" shapeId="0" xr:uid="{BD226376-8B85-4EC3-B5E1-2BD3EB48F5BB}">
      <text>
        <r>
          <rPr>
            <b/>
            <sz val="8"/>
            <color indexed="81"/>
            <rFont val="Tahoma"/>
            <family val="2"/>
          </rPr>
          <t>q (dieetin q-arvo) oletus =  0.60
plaa,plaa,plaa</t>
        </r>
      </text>
    </comment>
    <comment ref="B201" authorId="0" shapeId="0" xr:uid="{985764B6-2EF4-4331-A1C6-2594C92ECE9B}">
      <text>
        <r>
          <rPr>
            <b/>
            <sz val="8"/>
            <color indexed="81"/>
            <rFont val="Tahoma"/>
            <family val="2"/>
          </rPr>
          <t>km (ME:n hyväksikäyttö ylläpidossa dieetin q-arvon funktiona) = 0.35*q+0.503</t>
        </r>
      </text>
    </comment>
    <comment ref="B202" authorId="0" shapeId="0" xr:uid="{88DF26F5-8EA8-41C6-8751-F4E4D20327F1}">
      <text>
        <r>
          <rPr>
            <b/>
            <sz val="8"/>
            <color indexed="81"/>
            <rFont val="Tahoma"/>
            <family val="2"/>
          </rPr>
          <t>kg (ME:n hyväksikäyttö kasvussa dieetin q-arvon funktiona) = 0.78*q+0.006</t>
        </r>
      </text>
    </comment>
    <comment ref="B203" authorId="0" shapeId="0" xr:uid="{89278DEF-D719-4B87-848B-7518442F21E9}">
      <text>
        <r>
          <rPr>
            <b/>
            <sz val="8"/>
            <color indexed="81"/>
            <rFont val="Tahoma"/>
            <family val="2"/>
          </rPr>
          <t>lk.k (lisäkasvutarpeen korjauskerroin) = [el.laji@1.30,1.15,1.00,1.15,1.00,0.85,1.00,0.85,0.70]</t>
        </r>
      </text>
    </comment>
    <comment ref="D203" authorId="0" shapeId="0" xr:uid="{4F2B605B-5E9A-40EE-A33B-BB5D94E4455A}">
      <text>
        <r>
          <rPr>
            <b/>
            <u/>
            <sz val="8"/>
            <color indexed="81"/>
            <rFont val="Tahoma"/>
            <family val="2"/>
          </rPr>
          <t>Korjauskertoimet lisäkasvun energiantarpeen laskentaan eläinlajeittain</t>
        </r>
        <r>
          <rPr>
            <b/>
            <sz val="8"/>
            <color indexed="81"/>
            <rFont val="Tahoma"/>
            <family val="2"/>
          </rPr>
          <t xml:space="preserve">
- Hieho; pieni hyvin aikaisin kehittyvä rotu           = 1.30
- Hieho; keskikokoinen, aikaisin kehittyvä rotu   = 1.15
- Hieho; suuri myöhään kehittyvä rotu                   = 1.00
- Härkä; pieni hyvin aikaisin kehittyvä rotu          = 1.15
- Härkä; keskikokoinen, aikaisin kehittyvä rotu  = 1.00
- Härkä; suuri myöhään kehittyvä rotu                  = 0.85
- Sonni; pieni hyvin aikaisin kehittyvä rotu           = 1.00
- Sonni; keskikokoinen, aikaisin kehittyvä rotu   = 0.85
- Sonni; suuri myöhään kehittyvä rotu                   = 0.70
</t>
        </r>
      </text>
    </comment>
    <comment ref="F203" authorId="0" shapeId="0" xr:uid="{71F9E5B5-372F-4462-A000-4A52A9CA23F7}">
      <text>
        <r>
          <rPr>
            <b/>
            <u/>
            <sz val="8"/>
            <color indexed="81"/>
            <rFont val="Tahoma"/>
            <family val="2"/>
          </rPr>
          <t>Korjauskertoimet lisäkasvun energiantarpeen laskentaan eläinlajeittain</t>
        </r>
        <r>
          <rPr>
            <b/>
            <sz val="8"/>
            <color indexed="81"/>
            <rFont val="Tahoma"/>
            <family val="2"/>
          </rPr>
          <t xml:space="preserve">
- Hieho; pieni hyvin aikaisin kehittyvä rotu           = 1.30
- Hieho; keskikokoinen, aikaisin kehittyvä rotu   = 1.15
- Hieho; suuri myöhään kehittyvä rotu                   = 1.00
- Härkä; pieni hyvin aikaisin kehittyvä rotu          = 1.15
- Härkä; keskikokoinen, aikaisin kehittyvä rotu  = 1.00
- Härkä; suuri myöhään kehittyvä rotu                  = 0.85
- Sonni; pieni hyvin aikaisin kehittyvä rotu           = 1.00
- Sonni; keskikokoinen, aikaisin kehittyvä rotu   = 0.85
- Sonni; suuri myöhään kehittyvä rotu                   = 0.70
</t>
        </r>
      </text>
    </comment>
    <comment ref="B204" authorId="0" shapeId="0" xr:uid="{55A19420-9233-497A-B797-1976AC312462}">
      <text>
        <r>
          <rPr>
            <b/>
            <sz val="8"/>
            <color indexed="81"/>
            <rFont val="Tahoma"/>
            <family val="2"/>
          </rPr>
          <t>yp.k (ylläpitokerroin)</t>
        </r>
      </text>
    </comment>
    <comment ref="D204" authorId="0" shapeId="0" xr:uid="{F28F3D1C-9AD1-48E1-AEC4-6F5FBDCD7255}">
      <text>
        <r>
          <rPr>
            <b/>
            <u/>
            <sz val="8"/>
            <color indexed="81"/>
            <rFont val="Tahoma"/>
            <family val="2"/>
          </rPr>
          <t xml:space="preserve">Korjauskertoimet ylläpidon energiantarpeen laskentaan
</t>
        </r>
        <r>
          <rPr>
            <b/>
            <sz val="8"/>
            <color indexed="81"/>
            <rFont val="Tahoma"/>
            <family val="2"/>
          </rPr>
          <t>- Hiehot  =1,00
- Härät    =1,00
- Sonnit   =1,15</t>
        </r>
      </text>
    </comment>
    <comment ref="F204" authorId="0" shapeId="0" xr:uid="{1520A6E8-8C8F-4099-835C-14EE8C8F179B}">
      <text>
        <r>
          <rPr>
            <b/>
            <u/>
            <sz val="8"/>
            <color indexed="81"/>
            <rFont val="Tahoma"/>
            <family val="2"/>
          </rPr>
          <t xml:space="preserve">Korjauskertoimet ylläpidon energiantarpeen laskentaan
</t>
        </r>
        <r>
          <rPr>
            <b/>
            <sz val="8"/>
            <color indexed="81"/>
            <rFont val="Tahoma"/>
            <family val="2"/>
          </rPr>
          <t>- Hiehot  =1,00
- Härät    =1,00
- Sonnit   =1,15</t>
        </r>
      </text>
    </comment>
    <comment ref="B205" authorId="0" shapeId="0" xr:uid="{73AD74FD-75BC-47F1-870A-C059DD0957F3}">
      <text>
        <r>
          <rPr>
            <b/>
            <sz val="8"/>
            <color indexed="81"/>
            <rFont val="Tahoma"/>
            <family val="2"/>
          </rPr>
          <t>lk (lisäkasvu, kg/d)</t>
        </r>
      </text>
    </comment>
    <comment ref="B206" authorId="0" shapeId="0" xr:uid="{D82D5C77-EA05-420D-B28A-9854BBB0B4B5}">
      <text>
        <r>
          <rPr>
            <b/>
            <sz val="8"/>
            <color indexed="81"/>
            <rFont val="Tahoma"/>
            <family val="2"/>
          </rPr>
          <t>elop (elopaino, kg)</t>
        </r>
      </text>
    </comment>
    <comment ref="B207" authorId="0" shapeId="0" xr:uid="{95CA7FF6-5EB5-4FDF-8028-C2280B47F661}">
      <text>
        <r>
          <rPr>
            <b/>
            <sz val="8"/>
            <color indexed="81"/>
            <rFont val="Tahoma"/>
            <family val="2"/>
          </rPr>
          <t xml:space="preserve">- neg (nettoenergian tarve kasvussa, MJ/d) = ((4.1+0.0332*elop-0.000009*elop*elop)/(1-0.1475*lk))*lk*lk.k
</t>
        </r>
      </text>
    </comment>
    <comment ref="B208" authorId="0" shapeId="0" xr:uid="{3F6B94F2-6AF6-47D7-B4DB-6FB9A10758DD}">
      <text>
        <r>
          <rPr>
            <b/>
            <sz val="8"/>
            <color indexed="81"/>
            <rFont val="Tahoma"/>
            <family val="2"/>
          </rPr>
          <t>- nem (nettoenergian tarve NE, MJ/d) = 0.53*exp(0.67*ln((elop/1.08)))*yp.k+0.0071*elop</t>
        </r>
      </text>
    </comment>
    <comment ref="B209" authorId="0" shapeId="0" xr:uid="{1CEEB0F9-78FA-463D-A5F9-399122DD0F9E}">
      <text>
        <r>
          <rPr>
            <b/>
            <sz val="8"/>
            <color indexed="81"/>
            <rFont val="Tahoma"/>
            <family val="2"/>
          </rPr>
          <t xml:space="preserve">- me (ME-tarve, MJ/d) = nem/(km*ln(km/kg))*ln((km/(km-kg))/(km/(km-kg)-neg/nem-1)) </t>
        </r>
      </text>
    </comment>
    <comment ref="B211" authorId="0" shapeId="0" xr:uid="{CF998CB8-75B0-4321-A38F-64EFFE1756FC}">
      <text>
        <r>
          <rPr>
            <b/>
            <sz val="8"/>
            <color indexed="81"/>
            <rFont val="Tahoma"/>
            <family val="2"/>
          </rPr>
          <t>Normimuutos 2010: karsinakasvatettavat eläimet + 10 % + kaikki sonnit + 10 %</t>
        </r>
      </text>
    </comment>
    <comment ref="B213" authorId="0" shapeId="0" xr:uid="{B39DD6F4-94CF-4ADC-A14A-BE7608FBBA0B}">
      <text>
        <r>
          <rPr>
            <b/>
            <u/>
            <sz val="8"/>
            <color indexed="81"/>
            <rFont val="Tahoma"/>
            <family val="2"/>
          </rPr>
          <t xml:space="preserve">ME-tarpeen laskeminen ja RY-tarpeen laskeminen
</t>
        </r>
        <r>
          <rPr>
            <b/>
            <sz val="8"/>
            <color indexed="81"/>
            <rFont val="Tahoma"/>
            <family val="2"/>
          </rPr>
          <t xml:space="preserve">Tarvittavat </t>
        </r>
        <r>
          <rPr>
            <b/>
            <sz val="8"/>
            <color indexed="81"/>
            <rFont val="Tahoma"/>
            <family val="2"/>
          </rPr>
          <t xml:space="preserve">parametrit ovat: 
elopaino (elop, kg) lisäkasvu (lk, kg/d) sekä dieetin q-arvo (ME/BE), jolle olen käyttänyt oletusarvoa 0.60.
Lisäksi tarvitaan eläinlajikoodi, jonka perusteella tehdään korjaus sekä ylläpitotarpeeseen 
että lisäkasvun tarpeeseen. Kaikki muut kaavassa olevat tekijät on laskettu näistä muuttujista:
Muuttujat (muuttujan nimi, selitys, kaava):
- me (ME-tarve, MJ/d) = nem/(km*ln(km/kg))*ln((km/(km-kg))/(km/(km-kg)-neg/nem-1)) 
- nem (nettoenergian tarve NE, MJ/d) = 0.53*exp(0.67*ln((elop/1.08)))*yp.k+0.0071*elop
- neg (nettoenergian tarve kasvussa, MJ/d) = ((4.1+0.0332*elop-0.000009*elop*elop)/(1-0.1475*lk))*lk*lk.k
elop (elopaino, kg)
el.laji (eläinlajikoodi)
yp.k (ylläpitokerroin)
q (dieetin q-arvo, oletus 0.60) = 0.60
km (ME:n hyväksikäyttö ylläpidossa dieetin q-arvon funktiona) = 0.35*q+0.503
kg (ME:n hyväksikäyttö kasvussa dieetin q-arvon funktiona) = 0.78*q+0.006
lk.k (lisäkasvutarpeen korjauskerroin) = [el.laji@1.30,1.15,1.00,1.15,1.00,0.85,1.00,0.85,0.70]
lk (lisäkasvu, kg/d)
ry.tarve (RY-tarve/d) = me/11.7
Lähteet: (kaavat ja lähdeluettelot toimitti arvon rohvessoori, Mikko Tuori HY)
ARC80 (Agricultural Research Council). 1980. The nutrient requirements of ruminant livestock, technical review. 351 p.
AFRC90 (Agricultural and Food Research Council). 1990. AFRC Technical Committeeon Responses to Nutrients, Report Number 5, Nutritive Requirements of Ruminant
Animal: Energy. Nutrition Abstracts and Reviews (Series B), 60: 729-804.
</t>
        </r>
      </text>
    </comment>
    <comment ref="B215" authorId="0" shapeId="0" xr:uid="{C42A80EB-5E78-4783-915C-2748C6B8A7E1}">
      <text>
        <r>
          <rPr>
            <b/>
            <sz val="8"/>
            <color indexed="81"/>
            <rFont val="Tahoma"/>
            <family val="2"/>
          </rPr>
          <t>q (dieetin q-arvo) oletus =  0.60
plaa,plaa,plaa</t>
        </r>
      </text>
    </comment>
    <comment ref="B216" authorId="0" shapeId="0" xr:uid="{16A2363A-6FEB-4171-8482-7DBB6C25C771}">
      <text>
        <r>
          <rPr>
            <b/>
            <sz val="8"/>
            <color indexed="81"/>
            <rFont val="Tahoma"/>
            <family val="2"/>
          </rPr>
          <t>km (ME:n hyväksikäyttö ylläpidossa dieetin q-arvon funktiona) = 0.35*q+0.503</t>
        </r>
      </text>
    </comment>
    <comment ref="B217" authorId="0" shapeId="0" xr:uid="{48984FFD-17D9-4D8C-BC59-55BC995B72AB}">
      <text>
        <r>
          <rPr>
            <b/>
            <sz val="8"/>
            <color indexed="81"/>
            <rFont val="Tahoma"/>
            <family val="2"/>
          </rPr>
          <t>kg (ME:n hyväksikäyttö kasvussa dieetin q-arvon funktiona) = 0.78*q+0.006</t>
        </r>
      </text>
    </comment>
    <comment ref="B218" authorId="0" shapeId="0" xr:uid="{FEDC0EC9-2B63-46E1-B841-4B336F5D6AE1}">
      <text>
        <r>
          <rPr>
            <b/>
            <sz val="8"/>
            <color indexed="81"/>
            <rFont val="Tahoma"/>
            <family val="2"/>
          </rPr>
          <t>lk.k (lisäkasvutarpeen korjauskerroin) = [el.laji@1.30,1.15,1.00,1.15,1.00,0.85,1.00,0.85,0.70]</t>
        </r>
      </text>
    </comment>
    <comment ref="D218" authorId="0" shapeId="0" xr:uid="{30138A54-A1A0-43C1-A73E-BE7FF6125A7C}">
      <text>
        <r>
          <rPr>
            <b/>
            <u/>
            <sz val="8"/>
            <color indexed="81"/>
            <rFont val="Tahoma"/>
            <family val="2"/>
          </rPr>
          <t>Korjauskertoimet lisäkasvun energiantarpeen laskentaan eläinlajeittain</t>
        </r>
        <r>
          <rPr>
            <b/>
            <sz val="8"/>
            <color indexed="81"/>
            <rFont val="Tahoma"/>
            <family val="2"/>
          </rPr>
          <t xml:space="preserve">
- Hieho; pieni hyvin aikaisin kehittyvä rotu           = 1.30
- Hieho; keskikokoinen, aikaisin kehittyvä rotu   = 1.15
- Hieho; suuri myöhään kehittyvä rotu                   = 1.00
- Härkä; pieni hyvin aikaisin kehittyvä rotu          = 1.15
- Härkä; keskikokoinen, aikaisin kehittyvä rotu  = 1.00
- Härkä; suuri myöhään kehittyvä rotu                  = 0.85
- Sonni; pieni hyvin aikaisin kehittyvä rotu           = 1.00
- Sonni; keskikokoinen, aikaisin kehittyvä rotu   = 0.85
- Sonni; suuri myöhään kehittyvä rotu                   = 0.70
</t>
        </r>
      </text>
    </comment>
    <comment ref="F218" authorId="0" shapeId="0" xr:uid="{6037F919-B7E8-4C2B-A2E9-7542FC7D8B81}">
      <text>
        <r>
          <rPr>
            <b/>
            <u/>
            <sz val="8"/>
            <color indexed="81"/>
            <rFont val="Tahoma"/>
            <family val="2"/>
          </rPr>
          <t>Korjauskertoimet lisäkasvun energiantarpeen laskentaan eläinlajeittain</t>
        </r>
        <r>
          <rPr>
            <b/>
            <sz val="8"/>
            <color indexed="81"/>
            <rFont val="Tahoma"/>
            <family val="2"/>
          </rPr>
          <t xml:space="preserve">
- Hieho; pieni hyvin aikaisin kehittyvä rotu           = 1.30
- Hieho; keskikokoinen, aikaisin kehittyvä rotu   = 1.15
- Hieho; suuri myöhään kehittyvä rotu                   = 1.00
- Härkä; pieni hyvin aikaisin kehittyvä rotu          = 1.15
- Härkä; keskikokoinen, aikaisin kehittyvä rotu  = 1.00
- Härkä; suuri myöhään kehittyvä rotu                  = 0.85
- Sonni; pieni hyvin aikaisin kehittyvä rotu           = 1.00
- Sonni; keskikokoinen, aikaisin kehittyvä rotu   = 0.85
- Sonni; suuri myöhään kehittyvä rotu                   = 0.70
</t>
        </r>
      </text>
    </comment>
    <comment ref="B219" authorId="0" shapeId="0" xr:uid="{4A4F1CD3-AABB-4C85-A606-441748A369E0}">
      <text>
        <r>
          <rPr>
            <b/>
            <sz val="8"/>
            <color indexed="81"/>
            <rFont val="Tahoma"/>
            <family val="2"/>
          </rPr>
          <t>yp.k (ylläpitokerroin)</t>
        </r>
      </text>
    </comment>
    <comment ref="D219" authorId="0" shapeId="0" xr:uid="{E99E16B4-B02A-4DD7-9E76-B62A57AC3FA4}">
      <text>
        <r>
          <rPr>
            <b/>
            <u/>
            <sz val="8"/>
            <color indexed="81"/>
            <rFont val="Tahoma"/>
            <family val="2"/>
          </rPr>
          <t xml:space="preserve">Korjauskertoimet ylläpidon energiantarpeen laskentaan
</t>
        </r>
        <r>
          <rPr>
            <b/>
            <sz val="8"/>
            <color indexed="81"/>
            <rFont val="Tahoma"/>
            <family val="2"/>
          </rPr>
          <t>- Hiehot  =1,00
- Härät    =1,00
- Sonnit   =1,15</t>
        </r>
      </text>
    </comment>
    <comment ref="F219" authorId="0" shapeId="0" xr:uid="{3E31664F-EE7F-4B33-A9A6-5AE004F13F54}">
      <text>
        <r>
          <rPr>
            <b/>
            <u/>
            <sz val="8"/>
            <color indexed="81"/>
            <rFont val="Tahoma"/>
            <family val="2"/>
          </rPr>
          <t xml:space="preserve">Korjauskertoimet ylläpidon energiantarpeen laskentaan
</t>
        </r>
        <r>
          <rPr>
            <b/>
            <sz val="8"/>
            <color indexed="81"/>
            <rFont val="Tahoma"/>
            <family val="2"/>
          </rPr>
          <t>- Hiehot  =1,00
- Härät    =1,00
- Sonnit   =1,15</t>
        </r>
      </text>
    </comment>
    <comment ref="B220" authorId="0" shapeId="0" xr:uid="{77A1F6F7-DB51-4B01-83D5-29BD9583A4A4}">
      <text>
        <r>
          <rPr>
            <b/>
            <sz val="8"/>
            <color indexed="81"/>
            <rFont val="Tahoma"/>
            <family val="2"/>
          </rPr>
          <t>lk (lisäkasvu, kg/d)</t>
        </r>
      </text>
    </comment>
    <comment ref="B221" authorId="0" shapeId="0" xr:uid="{7DA64C1E-1A9A-4FDF-B3D2-2834BD21CF29}">
      <text>
        <r>
          <rPr>
            <b/>
            <sz val="8"/>
            <color indexed="81"/>
            <rFont val="Tahoma"/>
            <family val="2"/>
          </rPr>
          <t>elop (elopaino, kg)</t>
        </r>
      </text>
    </comment>
    <comment ref="B222" authorId="0" shapeId="0" xr:uid="{F287F750-C38A-45E6-A04F-FBF95777BA3C}">
      <text>
        <r>
          <rPr>
            <b/>
            <sz val="8"/>
            <color indexed="81"/>
            <rFont val="Tahoma"/>
            <family val="2"/>
          </rPr>
          <t xml:space="preserve">- neg (nettoenergian tarve kasvussa, MJ/d) = ((4.1+0.0332*elop-0.000009*elop*elop)/(1-0.1475*lk))*lk*lk.k
</t>
        </r>
      </text>
    </comment>
    <comment ref="B223" authorId="0" shapeId="0" xr:uid="{7BEC371D-14FD-4CA5-BE94-0072F6C54916}">
      <text>
        <r>
          <rPr>
            <b/>
            <sz val="8"/>
            <color indexed="81"/>
            <rFont val="Tahoma"/>
            <family val="2"/>
          </rPr>
          <t>- nem (nettoenergian tarve NE, MJ/d) = 0.53*exp(0.67*ln((elop/1.08)))*yp.k+0.0071*elop</t>
        </r>
      </text>
    </comment>
    <comment ref="B224" authorId="0" shapeId="0" xr:uid="{756790E8-6EB8-43DC-A766-01DEA9F3285F}">
      <text>
        <r>
          <rPr>
            <b/>
            <sz val="8"/>
            <color indexed="81"/>
            <rFont val="Tahoma"/>
            <family val="2"/>
          </rPr>
          <t xml:space="preserve">- me (ME-tarve, MJ/d) = nem/(km*ln(km/kg))*ln((km/(km-kg))/(km/(km-kg)-neg/nem-1)) </t>
        </r>
      </text>
    </comment>
    <comment ref="B226" authorId="0" shapeId="0" xr:uid="{63DBE891-FE0D-4989-88EF-D8FB4C0F03FA}">
      <text>
        <r>
          <rPr>
            <b/>
            <sz val="8"/>
            <color indexed="81"/>
            <rFont val="Tahoma"/>
            <family val="2"/>
          </rPr>
          <t>Normimuutos 2010: karsinakasvatettavat eläimet + 10 % + kaikki sonnit + 10 %</t>
        </r>
      </text>
    </comment>
    <comment ref="B228" authorId="0" shapeId="0" xr:uid="{6FB55514-3CC3-46A2-AE3F-88A8E0AF7E8B}">
      <text>
        <r>
          <rPr>
            <b/>
            <u/>
            <sz val="8"/>
            <color indexed="81"/>
            <rFont val="Tahoma"/>
            <family val="2"/>
          </rPr>
          <t xml:space="preserve">ME-tarpeen laskeminen ja RY-tarpeen laskeminen
</t>
        </r>
        <r>
          <rPr>
            <b/>
            <sz val="8"/>
            <color indexed="81"/>
            <rFont val="Tahoma"/>
            <family val="2"/>
          </rPr>
          <t xml:space="preserve">Tarvittavat </t>
        </r>
        <r>
          <rPr>
            <b/>
            <sz val="8"/>
            <color indexed="81"/>
            <rFont val="Tahoma"/>
            <family val="2"/>
          </rPr>
          <t xml:space="preserve">parametrit ovat: 
elopaino (elop, kg) lisäkasvu (lk, kg/d) sekä dieetin q-arvo (ME/BE), jolle olen käyttänyt oletusarvoa 0.60.
Lisäksi tarvitaan eläinlajikoodi, jonka perusteella tehdään korjaus sekä ylläpitotarpeeseen 
että lisäkasvun tarpeeseen. Kaikki muut kaavassa olevat tekijät on laskettu näistä muuttujista:
Muuttujat (muuttujan nimi, selitys, kaava):
- me (ME-tarve, MJ/d) = nem/(km*ln(km/kg))*ln((km/(km-kg))/(km/(km-kg)-neg/nem-1)) 
- nem (nettoenergian tarve NE, MJ/d) = 0.53*exp(0.67*ln((elop/1.08)))*yp.k+0.0071*elop
- neg (nettoenergian tarve kasvussa, MJ/d) = ((4.1+0.0332*elop-0.000009*elop*elop)/(1-0.1475*lk))*lk*lk.k
elop (elopaino, kg)
el.laji (eläinlajikoodi)
yp.k (ylläpitokerroin)
q (dieetin q-arvo, oletus 0.60) = 0.60
km (ME:n hyväksikäyttö ylläpidossa dieetin q-arvon funktiona) = 0.35*q+0.503
kg (ME:n hyväksikäyttö kasvussa dieetin q-arvon funktiona) = 0.78*q+0.006
lk.k (lisäkasvutarpeen korjauskerroin) = [el.laji@1.30,1.15,1.00,1.15,1.00,0.85,1.00,0.85,0.70]
lk (lisäkasvu, kg/d)
ry.tarve (RY-tarve/d) = me/11.7
Lähteet: (kaavat ja lähdeluettelot toimitti arvon rohvessoori, Mikko Tuori HY)
ARC80 (Agricultural Research Council). 1980. The nutrient requirements of ruminant livestock, technical review. 351 p.
AFRC90 (Agricultural and Food Research Council). 1990. AFRC Technical Committeeon Responses to Nutrients, Report Number 5, Nutritive Requirements of Ruminant
Animal: Energy. Nutrition Abstracts and Reviews (Series B), 60: 729-804.
</t>
        </r>
      </text>
    </comment>
    <comment ref="B230" authorId="0" shapeId="0" xr:uid="{468D1975-60B0-49B3-85E7-6299B0386ED1}">
      <text>
        <r>
          <rPr>
            <b/>
            <sz val="8"/>
            <color indexed="81"/>
            <rFont val="Tahoma"/>
            <family val="2"/>
          </rPr>
          <t>q (dieetin q-arvo) oletus =  0.60
plaa,plaa,plaa</t>
        </r>
      </text>
    </comment>
    <comment ref="B231" authorId="0" shapeId="0" xr:uid="{31E51BCA-6CDB-4199-91F7-FE509C072A62}">
      <text>
        <r>
          <rPr>
            <b/>
            <sz val="8"/>
            <color indexed="81"/>
            <rFont val="Tahoma"/>
            <family val="2"/>
          </rPr>
          <t>km (ME:n hyväksikäyttö ylläpidossa dieetin q-arvon funktiona) = 0.35*q+0.503</t>
        </r>
      </text>
    </comment>
    <comment ref="B232" authorId="0" shapeId="0" xr:uid="{3709C399-7DA6-4065-A886-DD61350B7B26}">
      <text>
        <r>
          <rPr>
            <b/>
            <sz val="8"/>
            <color indexed="81"/>
            <rFont val="Tahoma"/>
            <family val="2"/>
          </rPr>
          <t>kg (ME:n hyväksikäyttö kasvussa dieetin q-arvon funktiona) = 0.78*q+0.006</t>
        </r>
      </text>
    </comment>
    <comment ref="B233" authorId="0" shapeId="0" xr:uid="{574BD41C-D0AE-4474-8B28-E350F5722DD3}">
      <text>
        <r>
          <rPr>
            <b/>
            <sz val="8"/>
            <color indexed="81"/>
            <rFont val="Tahoma"/>
            <family val="2"/>
          </rPr>
          <t>lk.k (lisäkasvutarpeen korjauskerroin) = [el.laji@1.30,1.15,1.00,1.15,1.00,0.85,1.00,0.85,0.70]</t>
        </r>
      </text>
    </comment>
    <comment ref="D233" authorId="0" shapeId="0" xr:uid="{22BC6CAA-6D70-4B9D-A8CA-9A352AB8B7A0}">
      <text>
        <r>
          <rPr>
            <b/>
            <u/>
            <sz val="8"/>
            <color indexed="81"/>
            <rFont val="Tahoma"/>
            <family val="2"/>
          </rPr>
          <t>Korjauskertoimet lisäkasvun energiantarpeen laskentaan eläinlajeittain</t>
        </r>
        <r>
          <rPr>
            <b/>
            <sz val="8"/>
            <color indexed="81"/>
            <rFont val="Tahoma"/>
            <family val="2"/>
          </rPr>
          <t xml:space="preserve">
- Hieho; pieni hyvin aikaisin kehittyvä rotu           = 1.30
- Hieho; keskikokoinen, aikaisin kehittyvä rotu   = 1.15
- Hieho; suuri myöhään kehittyvä rotu                   = 1.00
- Härkä; pieni hyvin aikaisin kehittyvä rotu          = 1.15
- Härkä; keskikokoinen, aikaisin kehittyvä rotu  = 1.00
- Härkä; suuri myöhään kehittyvä rotu                  = 0.85
- Sonni; pieni hyvin aikaisin kehittyvä rotu           = 1.00
- Sonni; keskikokoinen, aikaisin kehittyvä rotu   = 0.85
- Sonni; suuri myöhään kehittyvä rotu                   = 0.70
</t>
        </r>
      </text>
    </comment>
    <comment ref="F233" authorId="0" shapeId="0" xr:uid="{D8732EAF-F9E0-4859-B9A2-969841DE825F}">
      <text>
        <r>
          <rPr>
            <b/>
            <u/>
            <sz val="8"/>
            <color indexed="81"/>
            <rFont val="Tahoma"/>
            <family val="2"/>
          </rPr>
          <t>Korjauskertoimet lisäkasvun energiantarpeen laskentaan eläinlajeittain</t>
        </r>
        <r>
          <rPr>
            <b/>
            <sz val="8"/>
            <color indexed="81"/>
            <rFont val="Tahoma"/>
            <family val="2"/>
          </rPr>
          <t xml:space="preserve">
- Hieho; pieni hyvin aikaisin kehittyvä rotu           = 1.30
- Hieho; keskikokoinen, aikaisin kehittyvä rotu   = 1.15
- Hieho; suuri myöhään kehittyvä rotu                   = 1.00
- Härkä; pieni hyvin aikaisin kehittyvä rotu          = 1.15
- Härkä; keskikokoinen, aikaisin kehittyvä rotu  = 1.00
- Härkä; suuri myöhään kehittyvä rotu                  = 0.85
- Sonni; pieni hyvin aikaisin kehittyvä rotu           = 1.00
- Sonni; keskikokoinen, aikaisin kehittyvä rotu   = 0.85
- Sonni; suuri myöhään kehittyvä rotu                   = 0.70
</t>
        </r>
      </text>
    </comment>
    <comment ref="B234" authorId="0" shapeId="0" xr:uid="{256CF72C-2751-41EF-BED1-FE2AA694BB55}">
      <text>
        <r>
          <rPr>
            <b/>
            <sz val="8"/>
            <color indexed="81"/>
            <rFont val="Tahoma"/>
            <family val="2"/>
          </rPr>
          <t>yp.k (ylläpitokerroin)</t>
        </r>
      </text>
    </comment>
    <comment ref="D234" authorId="0" shapeId="0" xr:uid="{1A224877-0D2E-401D-A8F5-E9CC97A2787E}">
      <text>
        <r>
          <rPr>
            <b/>
            <u/>
            <sz val="8"/>
            <color indexed="81"/>
            <rFont val="Tahoma"/>
            <family val="2"/>
          </rPr>
          <t xml:space="preserve">Korjauskertoimet ylläpidon energiantarpeen laskentaan
</t>
        </r>
        <r>
          <rPr>
            <b/>
            <sz val="8"/>
            <color indexed="81"/>
            <rFont val="Tahoma"/>
            <family val="2"/>
          </rPr>
          <t>- Hiehot  =1,00
- Härät    =1,00
- Sonnit   =1,15</t>
        </r>
      </text>
    </comment>
    <comment ref="F234" authorId="0" shapeId="0" xr:uid="{126914DC-89D3-4860-882C-0E2694761CCC}">
      <text>
        <r>
          <rPr>
            <b/>
            <u/>
            <sz val="8"/>
            <color indexed="81"/>
            <rFont val="Tahoma"/>
            <family val="2"/>
          </rPr>
          <t xml:space="preserve">Korjauskertoimet ylläpidon energiantarpeen laskentaan
</t>
        </r>
        <r>
          <rPr>
            <b/>
            <sz val="8"/>
            <color indexed="81"/>
            <rFont val="Tahoma"/>
            <family val="2"/>
          </rPr>
          <t>- Hiehot  =1,00
- Härät    =1,00
- Sonnit   =1,15</t>
        </r>
      </text>
    </comment>
    <comment ref="B235" authorId="0" shapeId="0" xr:uid="{D960BE21-E137-46F8-BD12-A88AF69E2388}">
      <text>
        <r>
          <rPr>
            <b/>
            <sz val="8"/>
            <color indexed="81"/>
            <rFont val="Tahoma"/>
            <family val="2"/>
          </rPr>
          <t>lk (lisäkasvu, kg/d)</t>
        </r>
      </text>
    </comment>
    <comment ref="B236" authorId="0" shapeId="0" xr:uid="{AD005047-8231-493F-9F4E-776F57BD8FF3}">
      <text>
        <r>
          <rPr>
            <b/>
            <sz val="8"/>
            <color indexed="81"/>
            <rFont val="Tahoma"/>
            <family val="2"/>
          </rPr>
          <t>elop (elopaino, kg)</t>
        </r>
      </text>
    </comment>
    <comment ref="B237" authorId="0" shapeId="0" xr:uid="{61077909-5330-4678-B7F5-20026784D4EB}">
      <text>
        <r>
          <rPr>
            <b/>
            <sz val="8"/>
            <color indexed="81"/>
            <rFont val="Tahoma"/>
            <family val="2"/>
          </rPr>
          <t xml:space="preserve">- neg (nettoenergian tarve kasvussa, MJ/d) = ((4.1+0.0332*elop-0.000009*elop*elop)/(1-0.1475*lk))*lk*lk.k
</t>
        </r>
      </text>
    </comment>
    <comment ref="B238" authorId="0" shapeId="0" xr:uid="{543435DD-CEF9-41AA-8CD0-DCF6B22296A0}">
      <text>
        <r>
          <rPr>
            <b/>
            <sz val="8"/>
            <color indexed="81"/>
            <rFont val="Tahoma"/>
            <family val="2"/>
          </rPr>
          <t>- nem (nettoenergian tarve NE, MJ/d) = 0.53*exp(0.67*ln((elop/1.08)))*yp.k+0.0071*elop</t>
        </r>
      </text>
    </comment>
    <comment ref="B239" authorId="0" shapeId="0" xr:uid="{35775371-0CDE-4D14-9B85-18984595783E}">
      <text>
        <r>
          <rPr>
            <b/>
            <sz val="8"/>
            <color indexed="81"/>
            <rFont val="Tahoma"/>
            <family val="2"/>
          </rPr>
          <t xml:space="preserve">- me (ME-tarve, MJ/d) = nem/(km*ln(km/kg))*ln((km/(km-kg))/(km/(km-kg)-neg/nem-1)) </t>
        </r>
      </text>
    </comment>
  </commentList>
</comments>
</file>

<file path=xl/sharedStrings.xml><?xml version="1.0" encoding="utf-8"?>
<sst xmlns="http://schemas.openxmlformats.org/spreadsheetml/2006/main" count="538" uniqueCount="201">
  <si>
    <t>kg</t>
  </si>
  <si>
    <t>%</t>
  </si>
  <si>
    <t>pv</t>
  </si>
  <si>
    <t>MJ</t>
  </si>
  <si>
    <t>kg/pv</t>
  </si>
  <si>
    <t>kk</t>
  </si>
  <si>
    <t>Energiakorjattumaitotuotos EKM</t>
  </si>
  <si>
    <t>Energian tarve ylläpitoon</t>
  </si>
  <si>
    <t>Energian tarve maidontuotantoon</t>
  </si>
  <si>
    <t>Tineyslisä</t>
  </si>
  <si>
    <t>AB</t>
  </si>
  <si>
    <t>HF</t>
  </si>
  <si>
    <t>BL</t>
  </si>
  <si>
    <t>LI</t>
  </si>
  <si>
    <t>SI</t>
  </si>
  <si>
    <t>CH</t>
  </si>
  <si>
    <t>Energiantarve päivässä keskimäärin</t>
  </si>
  <si>
    <t>D-arvo</t>
  </si>
  <si>
    <t>Alle 600</t>
  </si>
  <si>
    <t>600-670</t>
  </si>
  <si>
    <t>Yli 670</t>
  </si>
  <si>
    <t>Ylläpitokausi</t>
  </si>
  <si>
    <t>Imetyskausi</t>
  </si>
  <si>
    <t>Tiineyden viimeinen kuukausi</t>
  </si>
  <si>
    <t>Maksimisyönti elopainosta</t>
  </si>
  <si>
    <t>Syöntipotentiaali imetyskaudella</t>
  </si>
  <si>
    <t>Syöntipotentiaali ylläpitokaudella</t>
  </si>
  <si>
    <t>Syöntipotentiaali tiineyden viimeisellä kuukaudella</t>
  </si>
  <si>
    <t>Kgka/pv</t>
  </si>
  <si>
    <t>Kgka</t>
  </si>
  <si>
    <t>% elopainosta</t>
  </si>
  <si>
    <t>MJ/pv</t>
  </si>
  <si>
    <t>Emolehmien ja vasikoiden syömän rehumäärän arviointia laidunkaudella</t>
  </si>
  <si>
    <t>Poikiminen keskimäärin</t>
  </si>
  <si>
    <t>Vieroitus keskimäärin</t>
  </si>
  <si>
    <t xml:space="preserve">Laidunkauden aloitus </t>
  </si>
  <si>
    <t>Laidunkauden lopetus</t>
  </si>
  <si>
    <t>Laidunkauden pituus</t>
  </si>
  <si>
    <t>Vieroitusikä keskimäärin</t>
  </si>
  <si>
    <t>pvm</t>
  </si>
  <si>
    <t>Maidon valkuais %</t>
  </si>
  <si>
    <t>Maidon rasva %</t>
  </si>
  <si>
    <t>Energiantarve laidunkaudella</t>
  </si>
  <si>
    <t>Rehun energia-arvo</t>
  </si>
  <si>
    <t>MJ/kgka</t>
  </si>
  <si>
    <t>Kuiva-aineen syönti energiantarpeen kautta</t>
  </si>
  <si>
    <t>kgka</t>
  </si>
  <si>
    <t>Laidunkaudesta imetyskautta</t>
  </si>
  <si>
    <t>Laiduntavien emolehmien määrä</t>
  </si>
  <si>
    <t>Lehmävasikoiden määrä</t>
  </si>
  <si>
    <t>Sonnivasikkoiden kasvu</t>
  </si>
  <si>
    <t>Lehmävasikoiden kasvu</t>
  </si>
  <si>
    <t>Hiehojen määrä (yli 12 kk) määrä</t>
  </si>
  <si>
    <t xml:space="preserve">Sonnivasikoiden määrä </t>
  </si>
  <si>
    <t>Siitossonnien määrä</t>
  </si>
  <si>
    <t>Emojen elopaino keskimäärin</t>
  </si>
  <si>
    <t>Emojen maidontuotanto keskimäärin</t>
  </si>
  <si>
    <t>g/pv</t>
  </si>
  <si>
    <t>kpl</t>
  </si>
  <si>
    <t>Sonnivasikoiden vieroituspaino</t>
  </si>
  <si>
    <t>Iso (ch, si)</t>
  </si>
  <si>
    <t>Keski (li, ba)</t>
  </si>
  <si>
    <t>Pieni (ab, hf)</t>
  </si>
  <si>
    <t>rotuyhdistelmät</t>
  </si>
  <si>
    <t>Korjauskerroin, sonnit</t>
  </si>
  <si>
    <t>Korjauskerroin, hiehot</t>
  </si>
  <si>
    <t>iso+iso</t>
  </si>
  <si>
    <t>1+1</t>
  </si>
  <si>
    <t>iso+keskik</t>
  </si>
  <si>
    <t>1+2</t>
  </si>
  <si>
    <t>iso+pieni</t>
  </si>
  <si>
    <t>1+3</t>
  </si>
  <si>
    <t>keskik+iso</t>
  </si>
  <si>
    <t>2+1</t>
  </si>
  <si>
    <t>keskik+keskik</t>
  </si>
  <si>
    <t>2+2</t>
  </si>
  <si>
    <t>keskik+pieni</t>
  </si>
  <si>
    <t>2+3</t>
  </si>
  <si>
    <t>pieni+iso</t>
  </si>
  <si>
    <t>3+1</t>
  </si>
  <si>
    <t>pieni+keskik</t>
  </si>
  <si>
    <t>3+2</t>
  </si>
  <si>
    <t>pieni+pieni</t>
  </si>
  <si>
    <t>3+3</t>
  </si>
  <si>
    <t>Korjauskertoimet lisäkasvun energiantarpeen laskentaan eläinlajeittain</t>
  </si>
  <si>
    <t>vrk</t>
  </si>
  <si>
    <t>Sonnivasikoiden syntymäpaino</t>
  </si>
  <si>
    <t>Lehmävasikoiden syntymäpaino</t>
  </si>
  <si>
    <t>Kg</t>
  </si>
  <si>
    <t>Lehmävasikoiden vieroituspaino</t>
  </si>
  <si>
    <t>Kasvatusajan keskim. elopaino, sonnivasikat syntymästä vieroitukseen</t>
  </si>
  <si>
    <t>Kasvatusajan keskim. elopaino, lehmävasikat syntymästä vieroitukseen</t>
  </si>
  <si>
    <t>Kasvatusajan keskimääräinen elopaino, uudistushiehot</t>
  </si>
  <si>
    <t>Kasvatusajan keskimääräinen elopaino, siitossonnit</t>
  </si>
  <si>
    <t>Elopainon kasvu päivässä, uudistushiehot</t>
  </si>
  <si>
    <t>Elopainon kasvu päivässä, siitossonnit</t>
  </si>
  <si>
    <t>Syntymäpaino</t>
  </si>
  <si>
    <t>Sonni</t>
  </si>
  <si>
    <t>Lehmä</t>
  </si>
  <si>
    <t>Siitossonnin paino</t>
  </si>
  <si>
    <t>Vasikoiden ikä laidunkauden puolivälissä</t>
  </si>
  <si>
    <t>Uudistushiehojen ikä laidunkauden puolivälissä</t>
  </si>
  <si>
    <t>Elopainon kasvu päivässä, sonnivasikat</t>
  </si>
  <si>
    <t xml:space="preserve">Elopainon kasvu päivässä, lehmävasikat </t>
  </si>
  <si>
    <t>Rehunkulutuksen laskenta</t>
  </si>
  <si>
    <t>Uudistushiehot</t>
  </si>
  <si>
    <t>PARAMETRIT:</t>
  </si>
  <si>
    <t xml:space="preserve">Dieetin q-arvo (q) </t>
  </si>
  <si>
    <t>ME:n hyväksikäyttö ylläpidossa (km)</t>
  </si>
  <si>
    <t>ME:n hyväksikäyttö kasvussa (kg)</t>
  </si>
  <si>
    <t>Lisäkasvun korjauskerroin (lk.k)</t>
  </si>
  <si>
    <t>Ylläpitokerroin (yp.k)</t>
  </si>
  <si>
    <t>Lisäkasvu (lk)</t>
  </si>
  <si>
    <t>Kg/vrk</t>
  </si>
  <si>
    <t>Elopaino (elop)</t>
  </si>
  <si>
    <t>Nettoenergian tarve kasvuun (neg)</t>
  </si>
  <si>
    <t>Nettoenergian tarve ylläpitoon (nem)</t>
  </si>
  <si>
    <t>Muuntokelpoisenenergian tarve yhteensä (me)</t>
  </si>
  <si>
    <t>Normin oma muutos??</t>
  </si>
  <si>
    <t>Muuntokelpoisenenergian tarve normimuutoksen jälkeen</t>
  </si>
  <si>
    <t>MJ/vrk</t>
  </si>
  <si>
    <t>Siitossonnit</t>
  </si>
  <si>
    <t>Myytävät sonnivasikat, syntymästä vieroitukseen</t>
  </si>
  <si>
    <t>Myytävät lehmävasikat, syntymästä vieroitukseen</t>
  </si>
  <si>
    <t>Vasikoiden rotuyhdistelmä</t>
  </si>
  <si>
    <t>Sonnivasikoiden korjauskerroin</t>
  </si>
  <si>
    <t>Lehmävasikoiden korjauskerroin</t>
  </si>
  <si>
    <t>Laidunrehun D-arvo</t>
  </si>
  <si>
    <t>Emolehmät</t>
  </si>
  <si>
    <t>Sonnivasikat</t>
  </si>
  <si>
    <t>Lehmävasikat</t>
  </si>
  <si>
    <t>Yhteensä</t>
  </si>
  <si>
    <t>Lisäruokinta</t>
  </si>
  <si>
    <t>Maito vasikoille</t>
  </si>
  <si>
    <t>Säilörehun kuiva-aine</t>
  </si>
  <si>
    <t>Säilörehun D-arvo</t>
  </si>
  <si>
    <t>Säilörehusta</t>
  </si>
  <si>
    <t>Lisäruokinnan energia yhteensä</t>
  </si>
  <si>
    <t>Väkirehun kuiva-aine</t>
  </si>
  <si>
    <t>Väkirehun energia-arvo</t>
  </si>
  <si>
    <t>Väkirehusta energiaa</t>
  </si>
  <si>
    <t>Energian tarve - lisäruokinnan energia</t>
  </si>
  <si>
    <t>Laitumelta kuiva-ainetta</t>
  </si>
  <si>
    <t>Laidunala, ha</t>
  </si>
  <si>
    <t>ha</t>
  </si>
  <si>
    <t>kgka/ha</t>
  </si>
  <si>
    <t>Syöntipotentiaalin ja energiantarpeeen ero</t>
  </si>
  <si>
    <t>Kgka/lehmä</t>
  </si>
  <si>
    <t>Laitumen kuiva-ainesato emojen maksimisyönnin mukaan</t>
  </si>
  <si>
    <t>(Rehua jatkuvasti vapaasti saatavilla)</t>
  </si>
  <si>
    <t>Emolehmien maksimisyönnin mukaan laskettu saanti</t>
  </si>
  <si>
    <t>Ero energian tarpeeseen</t>
  </si>
  <si>
    <t>Maksimisyönti energiantarpeeseen verrattuna</t>
  </si>
  <si>
    <t>Yhteenveto energian tarpeesta laidunkaudella koko karja</t>
  </si>
  <si>
    <t>Yhteenveto energian tarpeesta laidunkaudella eläintä kohti päivässä</t>
  </si>
  <si>
    <t>Erotus energiantarpeen ja maksimisyönnin mukaan laskettuna</t>
  </si>
  <si>
    <t>Laitumen kuiva-ainesato energian tarpeen mukaan</t>
  </si>
  <si>
    <t>Arvio rehun jatkuvasta vapaasta saatavuudesta</t>
  </si>
  <si>
    <t>Arvio laitumen kuiva-ainesadosta</t>
  </si>
  <si>
    <t>% ajasta</t>
  </si>
  <si>
    <t>LÄHTÖTIETOJA</t>
  </si>
  <si>
    <t>Rotu</t>
  </si>
  <si>
    <t>Kevätpoikivat</t>
  </si>
  <si>
    <t>Syyspoikivat</t>
  </si>
  <si>
    <t>Pääasiallinen emolehmien rotu (valitse pudotusvalikosta)</t>
  </si>
  <si>
    <t>Pääasiallinen isärotu (valitse pudotusvalikosta)</t>
  </si>
  <si>
    <t>Laidunkaudesta alkutiineyskautta</t>
  </si>
  <si>
    <t>Laidunkaudesta lopputiineyttä (viim. 30 pv)</t>
  </si>
  <si>
    <t>Poikimisesta laidunkauden alkuun</t>
  </si>
  <si>
    <t>Täytä tiedot sinisellä fontilla oleviin soluihin</t>
  </si>
  <si>
    <t>Poikimisesta laidunkauden loppuun</t>
  </si>
  <si>
    <t>Eläinmäärät</t>
  </si>
  <si>
    <t>Vasikoiden laidunkausi alkaa</t>
  </si>
  <si>
    <t>Vasikoiden laidunkausi loppuu</t>
  </si>
  <si>
    <t>Emojen laidunkausi yhteensä</t>
  </si>
  <si>
    <t>Emojen ja vasikoiden laidunkausi</t>
  </si>
  <si>
    <t xml:space="preserve">Vasikoiden laidunkausi </t>
  </si>
  <si>
    <t>Emojen energiantarve laidunkaudella</t>
  </si>
  <si>
    <t>Tiineyspäivät tiineyden 7. kuukausi</t>
  </si>
  <si>
    <t>Tiineyspäivät tiineyden 8. kuukausi</t>
  </si>
  <si>
    <t>Tiineyspäivät tiineyden 9. kuukausi</t>
  </si>
  <si>
    <t>Laidunkaudesta maidontuotantokautta</t>
  </si>
  <si>
    <t>Maitotuotos keskimäärin jaettuna koko emojen laidunkaudelle</t>
  </si>
  <si>
    <t>Emojen kuiva-aineen maksimisyönti</t>
  </si>
  <si>
    <t>Syöntipotentiaali laidunkaudella yhteensä</t>
  </si>
  <si>
    <t>Taustatietoja vasikoiden ja hiehojen energiantarpeen laskentaan</t>
  </si>
  <si>
    <t>Lähtiedot vasikoiden ja hiehojen energiantarpeen laskentaan</t>
  </si>
  <si>
    <t>Laidunkausi, poikiminen, vieroitus</t>
  </si>
  <si>
    <t>Rodut, emojen paino, maitotuotos, vasikoiden kasvut</t>
  </si>
  <si>
    <t>Syötetty säilörehumäärä, tuorepaino</t>
  </si>
  <si>
    <t>Syötetty välirehumäärä</t>
  </si>
  <si>
    <t>g/kgka</t>
  </si>
  <si>
    <t>Laitumen satotason arviointi</t>
  </si>
  <si>
    <t>Emojen</t>
  </si>
  <si>
    <t>elopaino</t>
  </si>
  <si>
    <t>maitotuotos</t>
  </si>
  <si>
    <t>Päivitykset</t>
  </si>
  <si>
    <t>Muutos</t>
  </si>
  <si>
    <t>Laitumen sadon arviointityökalu emolehmätilojen käyttöön</t>
  </si>
  <si>
    <t>Ensimmäinen versio laskurista</t>
  </si>
  <si>
    <t>Laskuria päivitetty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</si>
</sst>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
    <numFmt numFmtId="166" formatCode="#,##0.0"/>
    <numFmt numFmtId="167" formatCode="0.0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1"/>
      <color rgb="FF0000FF"/>
      <name val="Calibri"/>
      <family val="2"/>
      <scheme val="minor"/>
    </font>
    <font>
      <sz val="11"/>
      <name val="Calibri"/>
      <family val="2"/>
      <scheme val="minor"/>
    </font>
    <font>
      <b/>
      <u/>
      <sz val="8"/>
      <color indexed="81"/>
      <name val="Tahoma"/>
      <family val="2"/>
    </font>
    <font>
      <b/>
      <sz val="8"/>
      <color indexed="81"/>
      <name val="Tahoma"/>
      <family val="2"/>
    </font>
    <font>
      <b/>
      <sz val="11"/>
      <name val="Calibri"/>
      <family val="2"/>
      <scheme val="minor"/>
    </font>
    <font>
      <sz val="11"/>
      <color rgb="FF00B050"/>
      <name val="Calibri"/>
      <family val="2"/>
      <scheme val="minor"/>
    </font>
    <font>
      <sz val="11"/>
      <color indexed="10"/>
      <name val="Calibri"/>
      <family val="2"/>
      <scheme val="minor"/>
    </font>
    <font>
      <b/>
      <sz val="11"/>
      <color indexed="12"/>
      <name val="Calibri"/>
      <family val="2"/>
      <scheme val="minor"/>
    </font>
    <font>
      <sz val="11"/>
      <color theme="0"/>
      <name val="Calibri"/>
      <family val="2"/>
      <scheme val="minor"/>
    </font>
    <font>
      <sz val="11"/>
      <color theme="0" tint="-0.499984740745262"/>
      <name val="Calibri"/>
      <family val="2"/>
      <scheme val="minor"/>
    </font>
    <font>
      <sz val="9"/>
      <color indexed="81"/>
      <name val="Tahoma"/>
      <family val="2"/>
    </font>
    <font>
      <b/>
      <sz val="9"/>
      <color indexed="81"/>
      <name val="Tahoma"/>
      <family val="2"/>
    </font>
    <font>
      <b/>
      <sz val="14"/>
      <color theme="1"/>
      <name val="Calibri"/>
      <family val="2"/>
      <scheme val="minor"/>
    </font>
    <font>
      <sz val="11"/>
      <color rgb="FF333333"/>
      <name val="Arial"/>
      <family val="2"/>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ashed">
        <color indexed="64"/>
      </bottom>
      <diagonal/>
    </border>
    <border>
      <left/>
      <right/>
      <top/>
      <bottom style="dashed">
        <color auto="1"/>
      </bottom>
      <diagonal/>
    </border>
  </borders>
  <cellStyleXfs count="2">
    <xf numFmtId="0" fontId="0" fillId="0" borderId="0"/>
    <xf numFmtId="9" fontId="1" fillId="0" borderId="0" applyFont="0" applyFill="0" applyBorder="0" applyAlignment="0" applyProtection="0"/>
  </cellStyleXfs>
  <cellXfs count="125">
    <xf numFmtId="0" fontId="0" fillId="0" borderId="0" xfId="0"/>
    <xf numFmtId="0" fontId="0" fillId="0" borderId="1" xfId="0" applyBorder="1"/>
    <xf numFmtId="9" fontId="0" fillId="0" borderId="0" xfId="1" applyFont="1"/>
    <xf numFmtId="165" fontId="0" fillId="0" borderId="0" xfId="1" applyNumberFormat="1" applyFont="1"/>
    <xf numFmtId="0" fontId="4" fillId="0" borderId="0" xfId="0" applyFont="1"/>
    <xf numFmtId="0" fontId="5" fillId="0" borderId="0" xfId="0" applyFont="1"/>
    <xf numFmtId="0" fontId="5" fillId="0" borderId="0" xfId="0" applyFont="1" applyAlignment="1">
      <alignment horizontal="right"/>
    </xf>
    <xf numFmtId="0" fontId="6" fillId="0" borderId="0" xfId="0" applyFont="1" applyFill="1" applyBorder="1" applyProtection="1">
      <protection locked="0"/>
    </xf>
    <xf numFmtId="167" fontId="6" fillId="0" borderId="0" xfId="0" applyNumberFormat="1" applyFont="1" applyFill="1" applyBorder="1" applyProtection="1">
      <protection locked="0"/>
    </xf>
    <xf numFmtId="0" fontId="6" fillId="0" borderId="0" xfId="0" applyFont="1" applyFill="1" applyBorder="1"/>
    <xf numFmtId="0" fontId="6" fillId="0" borderId="0" xfId="0" applyFont="1" applyFill="1" applyBorder="1" applyAlignment="1" applyProtection="1">
      <alignment horizontal="left"/>
      <protection locked="0"/>
    </xf>
    <xf numFmtId="0" fontId="6" fillId="0" borderId="0" xfId="0" applyFont="1" applyBorder="1" applyProtection="1">
      <protection locked="0"/>
    </xf>
    <xf numFmtId="1" fontId="6" fillId="0" borderId="0" xfId="0" applyNumberFormat="1" applyFont="1" applyBorder="1" applyAlignment="1" applyProtection="1">
      <alignment horizontal="right"/>
      <protection locked="0"/>
    </xf>
    <xf numFmtId="1" fontId="6" fillId="0" borderId="0" xfId="0" applyNumberFormat="1" applyFont="1" applyBorder="1" applyAlignment="1" applyProtection="1">
      <alignment horizontal="left"/>
      <protection locked="0"/>
    </xf>
    <xf numFmtId="1" fontId="10" fillId="0" borderId="0" xfId="0" applyNumberFormat="1" applyFont="1" applyBorder="1" applyAlignment="1" applyProtection="1">
      <alignment horizontal="left"/>
      <protection locked="0"/>
    </xf>
    <xf numFmtId="1" fontId="10" fillId="0" borderId="0" xfId="0" applyNumberFormat="1" applyFont="1" applyFill="1" applyBorder="1" applyProtection="1">
      <protection locked="0"/>
    </xf>
    <xf numFmtId="1" fontId="6" fillId="0" borderId="1" xfId="0" applyNumberFormat="1" applyFont="1" applyBorder="1" applyAlignment="1" applyProtection="1">
      <alignment horizontal="left"/>
      <protection locked="0"/>
    </xf>
    <xf numFmtId="0" fontId="11" fillId="0" borderId="0" xfId="0" applyFont="1"/>
    <xf numFmtId="0" fontId="11" fillId="0" borderId="0" xfId="0" applyFont="1" applyFill="1" applyBorder="1" applyProtection="1">
      <protection locked="0"/>
    </xf>
    <xf numFmtId="0" fontId="6" fillId="0" borderId="0" xfId="0" applyFont="1"/>
    <xf numFmtId="0" fontId="6" fillId="0" borderId="0" xfId="0" applyFont="1" applyBorder="1"/>
    <xf numFmtId="1" fontId="6" fillId="0" borderId="0" xfId="0" applyNumberFormat="1" applyFont="1" applyFill="1" applyBorder="1" applyProtection="1">
      <protection locked="0"/>
    </xf>
    <xf numFmtId="0" fontId="6" fillId="0" borderId="0" xfId="0" applyFont="1" applyFill="1" applyBorder="1" applyAlignment="1" applyProtection="1">
      <alignment horizontal="right"/>
      <protection locked="0"/>
    </xf>
    <xf numFmtId="2" fontId="6" fillId="0" borderId="0" xfId="0" applyNumberFormat="1" applyFont="1" applyBorder="1" applyProtection="1">
      <protection locked="0"/>
    </xf>
    <xf numFmtId="2" fontId="6" fillId="0" borderId="1" xfId="0" applyNumberFormat="1" applyFont="1" applyBorder="1" applyProtection="1">
      <protection locked="0"/>
    </xf>
    <xf numFmtId="1" fontId="6" fillId="0" borderId="0" xfId="0" applyNumberFormat="1" applyFont="1" applyBorder="1" applyProtection="1">
      <protection locked="0"/>
    </xf>
    <xf numFmtId="2" fontId="6" fillId="0" borderId="0" xfId="0" applyNumberFormat="1" applyFont="1" applyFill="1" applyBorder="1" applyProtection="1">
      <protection locked="0"/>
    </xf>
    <xf numFmtId="2" fontId="6" fillId="0" borderId="2" xfId="0" applyNumberFormat="1" applyFont="1" applyBorder="1" applyProtection="1">
      <protection locked="0"/>
    </xf>
    <xf numFmtId="1" fontId="6" fillId="0" borderId="2" xfId="0" applyNumberFormat="1" applyFont="1" applyBorder="1" applyAlignment="1" applyProtection="1">
      <alignment horizontal="left"/>
      <protection locked="0"/>
    </xf>
    <xf numFmtId="2" fontId="6" fillId="0" borderId="2" xfId="0" applyNumberFormat="1" applyFont="1" applyFill="1" applyBorder="1" applyProtection="1">
      <protection locked="0"/>
    </xf>
    <xf numFmtId="2" fontId="12" fillId="0" borderId="0" xfId="0" applyNumberFormat="1" applyFont="1" applyBorder="1" applyAlignment="1" applyProtection="1">
      <alignment horizontal="right"/>
      <protection locked="0"/>
    </xf>
    <xf numFmtId="1" fontId="12" fillId="0" borderId="0" xfId="0" applyNumberFormat="1" applyFont="1" applyBorder="1" applyProtection="1">
      <protection locked="0"/>
    </xf>
    <xf numFmtId="164" fontId="6" fillId="0" borderId="1" xfId="0" applyNumberFormat="1" applyFont="1" applyFill="1" applyBorder="1" applyProtection="1">
      <protection locked="0"/>
    </xf>
    <xf numFmtId="0" fontId="3" fillId="0" borderId="1" xfId="0" applyFont="1" applyBorder="1"/>
    <xf numFmtId="0" fontId="0" fillId="0" borderId="2" xfId="0" applyBorder="1"/>
    <xf numFmtId="3" fontId="5" fillId="0" borderId="2" xfId="0" applyNumberFormat="1" applyFont="1" applyBorder="1"/>
    <xf numFmtId="0" fontId="0" fillId="0" borderId="0" xfId="0" applyBorder="1"/>
    <xf numFmtId="1" fontId="5" fillId="0" borderId="0" xfId="0" applyNumberFormat="1" applyFont="1" applyBorder="1"/>
    <xf numFmtId="1" fontId="5" fillId="0" borderId="1" xfId="0" applyNumberFormat="1" applyFont="1" applyBorder="1"/>
    <xf numFmtId="0" fontId="0" fillId="0" borderId="0" xfId="0" applyFill="1" applyBorder="1"/>
    <xf numFmtId="0" fontId="3" fillId="0" borderId="3" xfId="0" applyFont="1" applyFill="1" applyBorder="1"/>
    <xf numFmtId="3" fontId="6" fillId="0" borderId="2" xfId="0" applyNumberFormat="1" applyFont="1" applyBorder="1"/>
    <xf numFmtId="3" fontId="6" fillId="0" borderId="0" xfId="0" applyNumberFormat="1" applyFont="1" applyBorder="1"/>
    <xf numFmtId="3" fontId="6" fillId="0" borderId="1" xfId="0" applyNumberFormat="1" applyFont="1" applyBorder="1"/>
    <xf numFmtId="3" fontId="9" fillId="0" borderId="3" xfId="0" applyNumberFormat="1" applyFont="1" applyBorder="1"/>
    <xf numFmtId="3" fontId="6" fillId="0" borderId="0" xfId="0" applyNumberFormat="1" applyFont="1"/>
    <xf numFmtId="9" fontId="6" fillId="0" borderId="0" xfId="1" applyFont="1"/>
    <xf numFmtId="0" fontId="0" fillId="0" borderId="2" xfId="0" applyFill="1" applyBorder="1"/>
    <xf numFmtId="0" fontId="0" fillId="0" borderId="1" xfId="0" applyFill="1" applyBorder="1"/>
    <xf numFmtId="9" fontId="6" fillId="0" borderId="1" xfId="1" applyFont="1" applyBorder="1"/>
    <xf numFmtId="0" fontId="6" fillId="0" borderId="2" xfId="0" applyFont="1" applyFill="1" applyBorder="1"/>
    <xf numFmtId="164" fontId="6" fillId="0" borderId="0" xfId="0" applyNumberFormat="1" applyFont="1" applyBorder="1" applyAlignment="1">
      <alignment horizontal="right"/>
    </xf>
    <xf numFmtId="0" fontId="0" fillId="0" borderId="0" xfId="0" applyBorder="1" applyAlignment="1">
      <alignment horizontal="right"/>
    </xf>
    <xf numFmtId="0" fontId="3" fillId="2" borderId="0" xfId="0" applyFont="1" applyFill="1"/>
    <xf numFmtId="3" fontId="9" fillId="2" borderId="0" xfId="0" applyNumberFormat="1" applyFont="1" applyFill="1"/>
    <xf numFmtId="0" fontId="0" fillId="0" borderId="0" xfId="0" applyFill="1"/>
    <xf numFmtId="0" fontId="3" fillId="0" borderId="2" xfId="0" applyFont="1" applyBorder="1"/>
    <xf numFmtId="3" fontId="9" fillId="0" borderId="2" xfId="0" applyNumberFormat="1" applyFont="1" applyBorder="1"/>
    <xf numFmtId="3" fontId="9" fillId="0" borderId="1" xfId="0" applyNumberFormat="1" applyFont="1" applyBorder="1"/>
    <xf numFmtId="0" fontId="3" fillId="0" borderId="0" xfId="0" applyFont="1" applyFill="1"/>
    <xf numFmtId="0" fontId="9" fillId="3" borderId="1" xfId="0" applyFont="1" applyFill="1" applyBorder="1"/>
    <xf numFmtId="0" fontId="13" fillId="0" borderId="0" xfId="0" applyFont="1" applyFill="1"/>
    <xf numFmtId="0" fontId="9" fillId="3" borderId="0" xfId="0" applyFont="1" applyFill="1" applyBorder="1"/>
    <xf numFmtId="0" fontId="0" fillId="0" borderId="1" xfId="0" applyBorder="1" applyAlignment="1">
      <alignment horizontal="right"/>
    </xf>
    <xf numFmtId="0" fontId="0" fillId="0" borderId="0" xfId="0" applyNumberFormat="1" applyFill="1" applyAlignment="1">
      <alignment horizontal="right"/>
    </xf>
    <xf numFmtId="0" fontId="0" fillId="0" borderId="0" xfId="0" applyFill="1" applyAlignment="1">
      <alignment horizontal="right"/>
    </xf>
    <xf numFmtId="14" fontId="6" fillId="0" borderId="0" xfId="0" applyNumberFormat="1" applyFont="1" applyBorder="1" applyAlignment="1">
      <alignment horizontal="right"/>
    </xf>
    <xf numFmtId="2" fontId="5" fillId="0" borderId="0" xfId="0" applyNumberFormat="1" applyFont="1" applyBorder="1"/>
    <xf numFmtId="0" fontId="5" fillId="0" borderId="2" xfId="0" applyFont="1" applyBorder="1"/>
    <xf numFmtId="166" fontId="0" fillId="0" borderId="0" xfId="0" applyNumberFormat="1" applyBorder="1"/>
    <xf numFmtId="3" fontId="0" fillId="0" borderId="0" xfId="0" applyNumberFormat="1" applyBorder="1"/>
    <xf numFmtId="3" fontId="0" fillId="0" borderId="1" xfId="0" applyNumberFormat="1" applyBorder="1"/>
    <xf numFmtId="165" fontId="0" fillId="0" borderId="2" xfId="1" applyNumberFormat="1" applyFont="1" applyBorder="1"/>
    <xf numFmtId="165" fontId="0" fillId="0" borderId="0" xfId="1" applyNumberFormat="1" applyFont="1" applyBorder="1"/>
    <xf numFmtId="164" fontId="0" fillId="0" borderId="0" xfId="0" applyNumberFormat="1" applyBorder="1"/>
    <xf numFmtId="0" fontId="2" fillId="0" borderId="0" xfId="0" applyFont="1" applyBorder="1"/>
    <xf numFmtId="3" fontId="2" fillId="0" borderId="0" xfId="0" applyNumberFormat="1" applyFont="1" applyBorder="1"/>
    <xf numFmtId="0" fontId="2" fillId="0" borderId="1" xfId="0" applyFont="1" applyBorder="1"/>
    <xf numFmtId="3" fontId="2" fillId="0" borderId="1" xfId="0" applyNumberFormat="1" applyFont="1" applyBorder="1"/>
    <xf numFmtId="164" fontId="0" fillId="0" borderId="0" xfId="0" applyNumberFormat="1" applyBorder="1" applyAlignment="1">
      <alignment horizontal="right"/>
    </xf>
    <xf numFmtId="1" fontId="6" fillId="0" borderId="0" xfId="0" applyNumberFormat="1" applyFont="1" applyBorder="1" applyAlignment="1">
      <alignment horizontal="right"/>
    </xf>
    <xf numFmtId="1" fontId="6" fillId="0" borderId="1" xfId="0" applyNumberFormat="1" applyFont="1" applyBorder="1" applyAlignment="1">
      <alignment horizontal="right"/>
    </xf>
    <xf numFmtId="1" fontId="6" fillId="0" borderId="0" xfId="0" applyNumberFormat="1" applyFont="1" applyBorder="1"/>
    <xf numFmtId="1" fontId="6" fillId="0" borderId="1" xfId="0" applyNumberFormat="1" applyFont="1" applyBorder="1"/>
    <xf numFmtId="0" fontId="6" fillId="0" borderId="0" xfId="0" applyFont="1" applyFill="1" applyBorder="1" applyAlignment="1">
      <alignment horizontal="right"/>
    </xf>
    <xf numFmtId="0" fontId="6" fillId="0" borderId="0" xfId="0" applyFont="1" applyFill="1"/>
    <xf numFmtId="0" fontId="9" fillId="3" borderId="0" xfId="0" applyFont="1" applyFill="1" applyBorder="1" applyProtection="1">
      <protection locked="0"/>
    </xf>
    <xf numFmtId="0" fontId="5" fillId="0" borderId="0" xfId="0" applyFont="1" applyBorder="1" applyProtection="1">
      <protection locked="0"/>
    </xf>
    <xf numFmtId="2" fontId="5" fillId="0" borderId="0" xfId="0" applyNumberFormat="1" applyFont="1" applyBorder="1" applyProtection="1">
      <protection locked="0"/>
    </xf>
    <xf numFmtId="2" fontId="5" fillId="0" borderId="1" xfId="0" applyNumberFormat="1" applyFont="1" applyBorder="1" applyProtection="1">
      <protection locked="0"/>
    </xf>
    <xf numFmtId="1" fontId="5" fillId="0" borderId="0" xfId="0" applyNumberFormat="1" applyFont="1" applyBorder="1" applyAlignment="1" applyProtection="1">
      <alignment horizontal="right"/>
      <protection locked="0"/>
    </xf>
    <xf numFmtId="1" fontId="6" fillId="0" borderId="0" xfId="0" applyNumberFormat="1" applyFont="1"/>
    <xf numFmtId="0" fontId="0" fillId="0" borderId="2" xfId="0" applyFont="1" applyBorder="1"/>
    <xf numFmtId="0" fontId="0" fillId="0" borderId="0" xfId="0" applyFont="1" applyBorder="1"/>
    <xf numFmtId="0" fontId="10" fillId="0" borderId="0" xfId="0" applyFont="1" applyBorder="1" applyProtection="1">
      <protection locked="0"/>
    </xf>
    <xf numFmtId="0" fontId="6" fillId="0" borderId="1" xfId="0" applyFont="1" applyBorder="1" applyProtection="1">
      <protection locked="0"/>
    </xf>
    <xf numFmtId="0" fontId="6" fillId="0" borderId="2" xfId="0" applyFont="1" applyBorder="1" applyProtection="1">
      <protection locked="0"/>
    </xf>
    <xf numFmtId="0" fontId="11" fillId="0" borderId="0" xfId="0" applyFont="1" applyBorder="1"/>
    <xf numFmtId="3" fontId="6" fillId="0" borderId="0" xfId="0" applyNumberFormat="1" applyFont="1" applyFill="1" applyBorder="1"/>
    <xf numFmtId="0" fontId="9" fillId="3" borderId="0" xfId="0" applyFont="1" applyFill="1" applyBorder="1" applyAlignment="1">
      <alignment horizontal="center"/>
    </xf>
    <xf numFmtId="0" fontId="14" fillId="0" borderId="4" xfId="0" applyFont="1" applyBorder="1"/>
    <xf numFmtId="3" fontId="14" fillId="0" borderId="4" xfId="0" applyNumberFormat="1" applyFont="1" applyBorder="1"/>
    <xf numFmtId="0" fontId="0" fillId="0" borderId="5" xfId="0" applyBorder="1"/>
    <xf numFmtId="3" fontId="6" fillId="0" borderId="5" xfId="0" applyNumberFormat="1" applyFont="1" applyBorder="1"/>
    <xf numFmtId="14" fontId="5" fillId="0" borderId="2" xfId="0" applyNumberFormat="1" applyFont="1" applyBorder="1" applyAlignment="1" applyProtection="1">
      <alignment horizontal="right"/>
      <protection locked="0"/>
    </xf>
    <xf numFmtId="14" fontId="5" fillId="0" borderId="0" xfId="0" applyNumberFormat="1" applyFont="1" applyBorder="1" applyAlignment="1" applyProtection="1">
      <alignment horizontal="right"/>
      <protection locked="0"/>
    </xf>
    <xf numFmtId="0" fontId="0" fillId="0" borderId="0" xfId="0" applyBorder="1" applyProtection="1">
      <protection locked="0"/>
    </xf>
    <xf numFmtId="0" fontId="0" fillId="0" borderId="0" xfId="0" applyProtection="1">
      <protection locked="0"/>
    </xf>
    <xf numFmtId="0" fontId="5" fillId="0" borderId="2" xfId="0" applyFont="1" applyBorder="1" applyAlignment="1" applyProtection="1">
      <alignment horizontal="right"/>
      <protection locked="0"/>
    </xf>
    <xf numFmtId="0" fontId="5" fillId="0" borderId="0" xfId="0" applyFont="1" applyBorder="1" applyAlignment="1" applyProtection="1">
      <alignment horizontal="right"/>
      <protection locked="0"/>
    </xf>
    <xf numFmtId="0" fontId="5" fillId="0" borderId="1" xfId="0" applyFont="1" applyBorder="1" applyAlignment="1" applyProtection="1">
      <alignment horizontal="right"/>
      <protection locked="0"/>
    </xf>
    <xf numFmtId="0" fontId="5" fillId="0" borderId="2" xfId="0" applyFont="1" applyFill="1" applyBorder="1" applyAlignment="1" applyProtection="1">
      <alignment horizontal="right"/>
      <protection locked="0"/>
    </xf>
    <xf numFmtId="0" fontId="5" fillId="0" borderId="0" xfId="0" applyFont="1" applyFill="1" applyBorder="1" applyAlignment="1" applyProtection="1">
      <alignment horizontal="right"/>
      <protection locked="0"/>
    </xf>
    <xf numFmtId="3" fontId="5" fillId="0" borderId="0" xfId="0" applyNumberFormat="1" applyFont="1" applyBorder="1" applyProtection="1">
      <protection locked="0"/>
    </xf>
    <xf numFmtId="9" fontId="5" fillId="0" borderId="0" xfId="1" applyFont="1" applyBorder="1" applyProtection="1">
      <protection locked="0"/>
    </xf>
    <xf numFmtId="3" fontId="5" fillId="0" borderId="0" xfId="0" applyNumberFormat="1" applyFont="1" applyProtection="1">
      <protection locked="0"/>
    </xf>
    <xf numFmtId="0" fontId="5" fillId="0" borderId="0" xfId="0" applyFont="1" applyFill="1" applyAlignment="1" applyProtection="1">
      <alignment horizontal="right"/>
      <protection locked="0"/>
    </xf>
    <xf numFmtId="9" fontId="5" fillId="0" borderId="0" xfId="1" applyFont="1" applyProtection="1">
      <protection locked="0"/>
    </xf>
    <xf numFmtId="0" fontId="2" fillId="0" borderId="0" xfId="0" applyFont="1" applyFill="1"/>
    <xf numFmtId="0" fontId="2" fillId="0" borderId="0" xfId="0" applyFont="1"/>
    <xf numFmtId="0" fontId="0" fillId="0" borderId="0" xfId="0" applyFill="1" applyProtection="1">
      <protection locked="0"/>
    </xf>
    <xf numFmtId="14" fontId="0" fillId="0" borderId="0" xfId="0" applyNumberFormat="1" applyAlignment="1">
      <alignment horizontal="right"/>
    </xf>
    <xf numFmtId="0" fontId="17" fillId="0" borderId="0" xfId="0" applyFont="1"/>
    <xf numFmtId="0" fontId="18" fillId="0" borderId="0" xfId="0" applyFont="1"/>
    <xf numFmtId="14" fontId="0" fillId="0" borderId="0" xfId="0" applyNumberFormat="1"/>
  </cellXfs>
  <cellStyles count="2">
    <cellStyle name="Normaali" xfId="0" builtinId="0"/>
    <cellStyle name="Prosenttia"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6350</xdr:colOff>
      <xdr:row>4</xdr:row>
      <xdr:rowOff>9526</xdr:rowOff>
    </xdr:from>
    <xdr:to>
      <xdr:col>10</xdr:col>
      <xdr:colOff>585787</xdr:colOff>
      <xdr:row>24</xdr:row>
      <xdr:rowOff>106680</xdr:rowOff>
    </xdr:to>
    <xdr:sp macro="" textlink="">
      <xdr:nvSpPr>
        <xdr:cNvPr id="2" name="Tekstiruutu 1">
          <a:extLst>
            <a:ext uri="{FF2B5EF4-FFF2-40B4-BE49-F238E27FC236}">
              <a16:creationId xmlns:a16="http://schemas.microsoft.com/office/drawing/2014/main" id="{1D29CA24-7C31-48E9-89B6-5BC025B06334}"/>
            </a:ext>
          </a:extLst>
        </xdr:cNvPr>
        <xdr:cNvSpPr txBox="1"/>
      </xdr:nvSpPr>
      <xdr:spPr>
        <a:xfrm>
          <a:off x="189230" y="794386"/>
          <a:ext cx="6210617" cy="37547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i="0">
              <a:solidFill>
                <a:schemeClr val="dk1"/>
              </a:solidFill>
              <a:effectLst/>
              <a:latin typeface="+mn-lt"/>
              <a:ea typeface="+mn-ea"/>
              <a:cs typeface="+mn-cs"/>
            </a:rPr>
            <a:t>Tuottava nautatilan nurmi-hankkeen pilotissa on luotu uusi laidunsatojen arviointityökalu.</a:t>
          </a:r>
          <a:r>
            <a:rPr lang="fi-FI" sz="1100" b="0" i="0">
              <a:solidFill>
                <a:schemeClr val="dk1"/>
              </a:solidFill>
              <a:effectLst/>
              <a:latin typeface="+mn-lt"/>
              <a:ea typeface="+mn-ea"/>
              <a:cs typeface="+mn-cs"/>
            </a:rPr>
            <a:t> Työkalu on luotu avuksi hahmottamaan laiduntavien eläinten rehuntarvetta ja tuottamaan satotietoja laidunten tuotantokustannuslaskentaan.</a:t>
          </a:r>
        </a:p>
        <a:p>
          <a:r>
            <a:rPr lang="fi-FI" sz="1100">
              <a:solidFill>
                <a:schemeClr val="tx1"/>
              </a:solidFill>
            </a:rPr>
            <a:t> </a:t>
          </a:r>
        </a:p>
        <a:p>
          <a:r>
            <a:rPr lang="fi-FI" sz="1100">
              <a:solidFill>
                <a:schemeClr val="tx1"/>
              </a:solidFill>
            </a:rPr>
            <a:t>Kun laidunten tuotantokustannusta lähdetään laskemaan auki, haasteeksi muodostuu yleensä laitumen satotason arviointi.  Harvempi on mitannut tai laskenut oman laidunnurmensa satotasoa ja usein laitumen satotasot perustuvatkin enemmin arvioon kuin varmaan tietoon. Tomi Karsikas Atrialta läksi ratkaisemaan ongelmaa kehittämällä yksinkertaisen Excel-laskurin emolehmien ja vasikoiden syömän rehumäärään arviointiin laidunkaudella. Laskurilla voidaan selvittää laidunkarjan energiantarve ja sitä kautta pystytään arvioimaan laitumen satotaso. Laskurissa on eroteltu kevät- ja syyspoikivat emot ja siihen merkitään laidunkauden aloitus- ja lopetuspäivämäärät sekä keskimääräiset poikimis- ja vieroituspäivämäärät. Myös eläinmäärät tulee erotella kappaleittain omille riveilleen: laiduntavat emolehmät, sonnivasikat, lehmävasikat, hiehot (yli 12kk) ja siitossonnit.</a:t>
          </a:r>
        </a:p>
        <a:p>
          <a:endParaRPr lang="fi-FI"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fi-FI" sz="1100">
              <a:solidFill>
                <a:schemeClr val="tx1"/>
              </a:solidFill>
              <a:effectLst/>
              <a:latin typeface="+mn-lt"/>
              <a:ea typeface="+mn-ea"/>
              <a:cs typeface="+mn-cs"/>
            </a:rPr>
            <a:t>Laskentapohjaa saa vapaasti käyttää.</a:t>
          </a:r>
          <a:r>
            <a:rPr lang="fi-FI" sz="1100" baseline="0">
              <a:solidFill>
                <a:schemeClr val="tx1"/>
              </a:solidFill>
              <a:effectLst/>
              <a:latin typeface="+mn-lt"/>
              <a:ea typeface="+mn-ea"/>
              <a:cs typeface="+mn-cs"/>
            </a:rPr>
            <a:t> </a:t>
          </a:r>
          <a:r>
            <a:rPr lang="fi-FI" sz="1100">
              <a:solidFill>
                <a:schemeClr val="tx1"/>
              </a:solidFill>
              <a:effectLst/>
              <a:latin typeface="+mn-lt"/>
              <a:ea typeface="+mn-ea"/>
              <a:cs typeface="+mn-cs"/>
            </a:rPr>
            <a:t>Laskelman solut, joissa</a:t>
          </a:r>
          <a:r>
            <a:rPr lang="fi-FI" sz="1100" baseline="0">
              <a:solidFill>
                <a:schemeClr val="tx1"/>
              </a:solidFill>
              <a:effectLst/>
              <a:latin typeface="+mn-lt"/>
              <a:ea typeface="+mn-ea"/>
              <a:cs typeface="+mn-cs"/>
            </a:rPr>
            <a:t> on kaavoja, on suojattu, ettei vahingossa poistaisi taulukon kaavoja. </a:t>
          </a:r>
          <a:r>
            <a:rPr lang="fi-FI" sz="1100">
              <a:solidFill>
                <a:schemeClr val="tx1"/>
              </a:solidFill>
            </a:rPr>
            <a:t>Syötä oman tilan tiedot sinisellä fontilla oleviin soluihin. Joissakin laskelman soluissa on yksityiskohtaisempia ohjeita, jotka saa näkyviin viemällä hiiren solun päälle, jossa on punainen kolmio solun oikeassa yläkulmassa</a:t>
          </a:r>
        </a:p>
        <a:p>
          <a:endParaRPr lang="fi-FI" sz="1100"/>
        </a:p>
      </xdr:txBody>
    </xdr:sp>
    <xdr:clientData/>
  </xdr:twoCellAnchor>
  <xdr:twoCellAnchor editAs="oneCell">
    <xdr:from>
      <xdr:col>8</xdr:col>
      <xdr:colOff>44450</xdr:colOff>
      <xdr:row>25</xdr:row>
      <xdr:rowOff>153281</xdr:rowOff>
    </xdr:from>
    <xdr:to>
      <xdr:col>10</xdr:col>
      <xdr:colOff>530225</xdr:colOff>
      <xdr:row>28</xdr:row>
      <xdr:rowOff>53745</xdr:rowOff>
    </xdr:to>
    <xdr:pic>
      <xdr:nvPicPr>
        <xdr:cNvPr id="3" name="Kuva 2">
          <a:extLst>
            <a:ext uri="{FF2B5EF4-FFF2-40B4-BE49-F238E27FC236}">
              <a16:creationId xmlns:a16="http://schemas.microsoft.com/office/drawing/2014/main" id="{C19245B5-B261-4940-B336-929FEE069C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9310" y="9167741"/>
          <a:ext cx="1704975" cy="449104"/>
        </a:xfrm>
        <a:prstGeom prst="rect">
          <a:avLst/>
        </a:prstGeom>
      </xdr:spPr>
    </xdr:pic>
    <xdr:clientData/>
  </xdr:twoCellAnchor>
  <xdr:twoCellAnchor editAs="oneCell">
    <xdr:from>
      <xdr:col>1</xdr:col>
      <xdr:colOff>121920</xdr:colOff>
      <xdr:row>25</xdr:row>
      <xdr:rowOff>154940</xdr:rowOff>
    </xdr:from>
    <xdr:to>
      <xdr:col>4</xdr:col>
      <xdr:colOff>510540</xdr:colOff>
      <xdr:row>27</xdr:row>
      <xdr:rowOff>156718</xdr:rowOff>
    </xdr:to>
    <xdr:pic>
      <xdr:nvPicPr>
        <xdr:cNvPr id="5" name="Kuva 4">
          <a:extLst>
            <a:ext uri="{FF2B5EF4-FFF2-40B4-BE49-F238E27FC236}">
              <a16:creationId xmlns:a16="http://schemas.microsoft.com/office/drawing/2014/main" id="{B1749C26-7318-41A6-A28B-C84560CD02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800" y="4963160"/>
          <a:ext cx="2362200" cy="3675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50800</xdr:colOff>
      <xdr:row>0</xdr:row>
      <xdr:rowOff>82550</xdr:rowOff>
    </xdr:from>
    <xdr:to>
      <xdr:col>1</xdr:col>
      <xdr:colOff>1764242</xdr:colOff>
      <xdr:row>2</xdr:row>
      <xdr:rowOff>169281</xdr:rowOff>
    </xdr:to>
    <xdr:pic>
      <xdr:nvPicPr>
        <xdr:cNvPr id="2" name="Kuva 1">
          <a:extLst>
            <a:ext uri="{FF2B5EF4-FFF2-40B4-BE49-F238E27FC236}">
              <a16:creationId xmlns:a16="http://schemas.microsoft.com/office/drawing/2014/main" id="{3ADECC7F-646E-47FD-B4D2-2D688F4837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 y="82550"/>
          <a:ext cx="1713442" cy="4550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0</xdr:row>
      <xdr:rowOff>82550</xdr:rowOff>
    </xdr:from>
    <xdr:to>
      <xdr:col>1</xdr:col>
      <xdr:colOff>1764242</xdr:colOff>
      <xdr:row>2</xdr:row>
      <xdr:rowOff>169281</xdr:rowOff>
    </xdr:to>
    <xdr:pic>
      <xdr:nvPicPr>
        <xdr:cNvPr id="2" name="Kuva 1">
          <a:extLst>
            <a:ext uri="{FF2B5EF4-FFF2-40B4-BE49-F238E27FC236}">
              <a16:creationId xmlns:a16="http://schemas.microsoft.com/office/drawing/2014/main" id="{F6976A71-C95D-4DCF-A024-F46E528A8C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 y="82550"/>
          <a:ext cx="1713442" cy="4524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387350</xdr:colOff>
      <xdr:row>14</xdr:row>
      <xdr:rowOff>38100</xdr:rowOff>
    </xdr:from>
    <xdr:to>
      <xdr:col>12</xdr:col>
      <xdr:colOff>55443</xdr:colOff>
      <xdr:row>26</xdr:row>
      <xdr:rowOff>87887</xdr:rowOff>
    </xdr:to>
    <xdr:pic>
      <xdr:nvPicPr>
        <xdr:cNvPr id="2" name="Kuva 1">
          <a:extLst>
            <a:ext uri="{FF2B5EF4-FFF2-40B4-BE49-F238E27FC236}">
              <a16:creationId xmlns:a16="http://schemas.microsoft.com/office/drawing/2014/main" id="{7DDB99E2-F818-453F-8BD3-74F9AACD19F6}"/>
            </a:ext>
          </a:extLst>
        </xdr:cNvPr>
        <xdr:cNvPicPr>
          <a:picLocks noChangeAspect="1"/>
        </xdr:cNvPicPr>
      </xdr:nvPicPr>
      <xdr:blipFill>
        <a:blip xmlns:r="http://schemas.openxmlformats.org/officeDocument/2006/relationships" r:embed="rId1"/>
        <a:stretch>
          <a:fillRect/>
        </a:stretch>
      </xdr:blipFill>
      <xdr:spPr>
        <a:xfrm>
          <a:off x="387350" y="3695700"/>
          <a:ext cx="6983293" cy="2244347"/>
        </a:xfrm>
        <a:prstGeom prst="rect">
          <a:avLst/>
        </a:prstGeom>
      </xdr:spPr>
    </xdr:pic>
    <xdr:clientData/>
  </xdr:twoCellAnchor>
  <xdr:twoCellAnchor editAs="oneCell">
    <xdr:from>
      <xdr:col>0</xdr:col>
      <xdr:colOff>377190</xdr:colOff>
      <xdr:row>28</xdr:row>
      <xdr:rowOff>3810</xdr:rowOff>
    </xdr:from>
    <xdr:to>
      <xdr:col>12</xdr:col>
      <xdr:colOff>477107</xdr:colOff>
      <xdr:row>36</xdr:row>
      <xdr:rowOff>92073</xdr:rowOff>
    </xdr:to>
    <xdr:pic>
      <xdr:nvPicPr>
        <xdr:cNvPr id="5" name="Kuva 4">
          <a:extLst>
            <a:ext uri="{FF2B5EF4-FFF2-40B4-BE49-F238E27FC236}">
              <a16:creationId xmlns:a16="http://schemas.microsoft.com/office/drawing/2014/main" id="{39D0EE48-DD42-490C-849D-245D335CD430}"/>
            </a:ext>
          </a:extLst>
        </xdr:cNvPr>
        <xdr:cNvPicPr>
          <a:picLocks noChangeAspect="1"/>
        </xdr:cNvPicPr>
      </xdr:nvPicPr>
      <xdr:blipFill>
        <a:blip xmlns:r="http://schemas.openxmlformats.org/officeDocument/2006/relationships" r:embed="rId2"/>
        <a:stretch>
          <a:fillRect/>
        </a:stretch>
      </xdr:blipFill>
      <xdr:spPr>
        <a:xfrm>
          <a:off x="377190" y="5124450"/>
          <a:ext cx="7415117" cy="1551303"/>
        </a:xfrm>
        <a:prstGeom prst="rect">
          <a:avLst/>
        </a:prstGeom>
      </xdr:spPr>
    </xdr:pic>
    <xdr:clientData/>
  </xdr:twoCellAnchor>
  <xdr:twoCellAnchor editAs="oneCell">
    <xdr:from>
      <xdr:col>0</xdr:col>
      <xdr:colOff>426720</xdr:colOff>
      <xdr:row>2</xdr:row>
      <xdr:rowOff>30480</xdr:rowOff>
    </xdr:from>
    <xdr:to>
      <xdr:col>10</xdr:col>
      <xdr:colOff>57038</xdr:colOff>
      <xdr:row>13</xdr:row>
      <xdr:rowOff>104138</xdr:rowOff>
    </xdr:to>
    <xdr:pic>
      <xdr:nvPicPr>
        <xdr:cNvPr id="4" name="Kuva 3">
          <a:extLst>
            <a:ext uri="{FF2B5EF4-FFF2-40B4-BE49-F238E27FC236}">
              <a16:creationId xmlns:a16="http://schemas.microsoft.com/office/drawing/2014/main" id="{A3C93A28-C779-4B67-B955-CE11F26A5203}"/>
            </a:ext>
          </a:extLst>
        </xdr:cNvPr>
        <xdr:cNvPicPr>
          <a:picLocks noChangeAspect="1"/>
        </xdr:cNvPicPr>
      </xdr:nvPicPr>
      <xdr:blipFill>
        <a:blip xmlns:r="http://schemas.openxmlformats.org/officeDocument/2006/relationships" r:embed="rId3"/>
        <a:stretch>
          <a:fillRect/>
        </a:stretch>
      </xdr:blipFill>
      <xdr:spPr>
        <a:xfrm>
          <a:off x="426720" y="396240"/>
          <a:ext cx="5726318" cy="2085338"/>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C0EA6-1445-48A4-A0A0-DD0491A4BEE3}">
  <dimension ref="B2:K34"/>
  <sheetViews>
    <sheetView zoomScale="120" zoomScaleNormal="120" workbookViewId="0">
      <selection activeCell="I39" sqref="I39"/>
    </sheetView>
  </sheetViews>
  <sheetFormatPr defaultRowHeight="14.4" x14ac:dyDescent="0.3"/>
  <cols>
    <col min="1" max="1" width="2.6640625" customWidth="1"/>
    <col min="2" max="2" width="11" customWidth="1"/>
    <col min="12" max="12" width="2.6640625" customWidth="1"/>
  </cols>
  <sheetData>
    <row r="2" spans="2:10" x14ac:dyDescent="0.3">
      <c r="I2" s="121">
        <v>44470</v>
      </c>
      <c r="J2" s="121"/>
    </row>
    <row r="3" spans="2:10" ht="18" x14ac:dyDescent="0.35">
      <c r="B3" s="122" t="s">
        <v>198</v>
      </c>
    </row>
    <row r="4" spans="2:10" ht="15" customHeight="1" x14ac:dyDescent="0.3"/>
    <row r="15" spans="2:10" x14ac:dyDescent="0.3">
      <c r="B15" s="123"/>
    </row>
    <row r="32" spans="2:11" x14ac:dyDescent="0.3">
      <c r="B32" s="33" t="s">
        <v>196</v>
      </c>
      <c r="C32" s="33"/>
      <c r="D32" s="33" t="s">
        <v>197</v>
      </c>
      <c r="E32" s="33"/>
      <c r="F32" s="33"/>
      <c r="G32" s="33"/>
      <c r="H32" s="33"/>
      <c r="I32" s="33"/>
      <c r="J32" s="33"/>
      <c r="K32" s="33"/>
    </row>
    <row r="33" spans="2:4" x14ac:dyDescent="0.3">
      <c r="B33" s="124">
        <v>44180</v>
      </c>
      <c r="D33" t="s">
        <v>199</v>
      </c>
    </row>
    <row r="34" spans="2:4" x14ac:dyDescent="0.3">
      <c r="B34" s="124">
        <v>44470</v>
      </c>
      <c r="D34" t="s">
        <v>200</v>
      </c>
    </row>
  </sheetData>
  <mergeCells count="1">
    <mergeCell ref="I2:J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M92"/>
  <sheetViews>
    <sheetView tabSelected="1" zoomScale="120" zoomScaleNormal="120" workbookViewId="0">
      <selection activeCell="K23" sqref="K23"/>
    </sheetView>
  </sheetViews>
  <sheetFormatPr defaultRowHeight="14.4" x14ac:dyDescent="0.3"/>
  <cols>
    <col min="1" max="1" width="2.77734375" style="36" customWidth="1"/>
    <col min="2" max="2" width="47.88671875" customWidth="1"/>
    <col min="4" max="4" width="12.44140625" bestFit="1" customWidth="1"/>
    <col min="5" max="5" width="5.5546875" customWidth="1"/>
    <col min="6" max="6" width="12.44140625" bestFit="1" customWidth="1"/>
    <col min="7" max="7" width="2.6640625" style="36" customWidth="1"/>
    <col min="11" max="11" width="10.77734375" bestFit="1" customWidth="1"/>
  </cols>
  <sheetData>
    <row r="4" spans="2:13" x14ac:dyDescent="0.3">
      <c r="I4" s="119"/>
      <c r="J4" s="119"/>
      <c r="K4" s="119"/>
      <c r="L4" s="119"/>
      <c r="M4" s="119"/>
    </row>
    <row r="5" spans="2:13" ht="21" x14ac:dyDescent="0.4">
      <c r="B5" s="4" t="s">
        <v>32</v>
      </c>
      <c r="I5" s="61" t="s">
        <v>60</v>
      </c>
      <c r="J5" s="61">
        <v>1</v>
      </c>
      <c r="K5" s="61">
        <f>VLOOKUP(D25,I5:J7,2,0)</f>
        <v>3</v>
      </c>
      <c r="L5" s="61">
        <f>VLOOKUP(F25,I5:J7,2,0)</f>
        <v>3</v>
      </c>
      <c r="M5" s="119"/>
    </row>
    <row r="6" spans="2:13" x14ac:dyDescent="0.3">
      <c r="B6" s="5" t="s">
        <v>169</v>
      </c>
      <c r="I6" s="61" t="s">
        <v>61</v>
      </c>
      <c r="J6" s="61">
        <v>2</v>
      </c>
      <c r="K6" s="61">
        <f>VLOOKUP(D26,I5:J7,2,0)</f>
        <v>2</v>
      </c>
      <c r="L6" s="61">
        <f>VLOOKUP(F26,I5:J7,2,0)</f>
        <v>2</v>
      </c>
      <c r="M6" s="119"/>
    </row>
    <row r="7" spans="2:13" x14ac:dyDescent="0.3">
      <c r="I7" s="61" t="s">
        <v>62</v>
      </c>
      <c r="J7" s="61">
        <v>3</v>
      </c>
      <c r="K7" s="61"/>
      <c r="L7" s="61"/>
      <c r="M7" s="119"/>
    </row>
    <row r="8" spans="2:13" x14ac:dyDescent="0.3">
      <c r="B8" s="62" t="s">
        <v>187</v>
      </c>
      <c r="C8" s="62"/>
      <c r="D8" s="99" t="s">
        <v>162</v>
      </c>
      <c r="E8" s="99"/>
      <c r="F8" s="99" t="s">
        <v>163</v>
      </c>
      <c r="I8" t="s">
        <v>160</v>
      </c>
    </row>
    <row r="9" spans="2:13" x14ac:dyDescent="0.3">
      <c r="B9" s="34" t="s">
        <v>35</v>
      </c>
      <c r="C9" s="34" t="s">
        <v>39</v>
      </c>
      <c r="D9" s="104">
        <v>44348</v>
      </c>
      <c r="E9" s="104"/>
      <c r="F9" s="104">
        <v>44348</v>
      </c>
      <c r="J9" t="s">
        <v>193</v>
      </c>
      <c r="K9" t="s">
        <v>193</v>
      </c>
    </row>
    <row r="10" spans="2:13" x14ac:dyDescent="0.3">
      <c r="B10" s="36" t="s">
        <v>36</v>
      </c>
      <c r="C10" s="36" t="s">
        <v>39</v>
      </c>
      <c r="D10" s="105">
        <v>44481</v>
      </c>
      <c r="E10" s="105"/>
      <c r="F10" s="105">
        <v>44481</v>
      </c>
      <c r="I10" s="1" t="s">
        <v>161</v>
      </c>
      <c r="J10" s="1" t="s">
        <v>194</v>
      </c>
      <c r="K10" s="1" t="s">
        <v>195</v>
      </c>
    </row>
    <row r="11" spans="2:13" x14ac:dyDescent="0.3">
      <c r="B11" s="36" t="s">
        <v>37</v>
      </c>
      <c r="C11" s="36" t="s">
        <v>2</v>
      </c>
      <c r="D11" s="52">
        <f>D10-D9</f>
        <v>133</v>
      </c>
      <c r="E11" s="52"/>
      <c r="F11" s="52">
        <f>F10-F9</f>
        <v>133</v>
      </c>
      <c r="I11" t="s">
        <v>10</v>
      </c>
      <c r="J11">
        <v>685</v>
      </c>
      <c r="K11">
        <v>9</v>
      </c>
    </row>
    <row r="12" spans="2:13" x14ac:dyDescent="0.3">
      <c r="B12" s="36" t="s">
        <v>33</v>
      </c>
      <c r="C12" s="36" t="s">
        <v>39</v>
      </c>
      <c r="D12" s="105">
        <v>44291</v>
      </c>
      <c r="E12" s="105"/>
      <c r="F12" s="105">
        <v>44440</v>
      </c>
      <c r="G12" s="106"/>
      <c r="H12" s="107"/>
      <c r="I12" t="s">
        <v>11</v>
      </c>
      <c r="J12">
        <v>690</v>
      </c>
      <c r="K12">
        <v>8</v>
      </c>
    </row>
    <row r="13" spans="2:13" x14ac:dyDescent="0.3">
      <c r="B13" s="36" t="s">
        <v>34</v>
      </c>
      <c r="C13" s="36" t="s">
        <v>39</v>
      </c>
      <c r="D13" s="105">
        <v>44481</v>
      </c>
      <c r="E13" s="105"/>
      <c r="F13" s="105">
        <v>44621</v>
      </c>
      <c r="G13" s="106"/>
      <c r="H13" s="107"/>
      <c r="I13" t="s">
        <v>12</v>
      </c>
      <c r="J13">
        <v>715</v>
      </c>
      <c r="K13">
        <v>6</v>
      </c>
    </row>
    <row r="14" spans="2:13" x14ac:dyDescent="0.3">
      <c r="B14" s="39" t="s">
        <v>176</v>
      </c>
      <c r="C14" s="39" t="s">
        <v>2</v>
      </c>
      <c r="D14" s="52">
        <f>Taustalaskenta!D105</f>
        <v>133</v>
      </c>
      <c r="E14" s="52"/>
      <c r="F14" s="52">
        <f>Taustalaskenta!F105</f>
        <v>41</v>
      </c>
      <c r="I14" t="s">
        <v>13</v>
      </c>
      <c r="J14">
        <v>705</v>
      </c>
      <c r="K14">
        <v>6</v>
      </c>
    </row>
    <row r="15" spans="2:13" x14ac:dyDescent="0.3">
      <c r="B15" s="1" t="s">
        <v>38</v>
      </c>
      <c r="C15" s="1" t="s">
        <v>2</v>
      </c>
      <c r="D15" s="63">
        <f>D13-D12</f>
        <v>190</v>
      </c>
      <c r="E15" s="63"/>
      <c r="F15" s="63">
        <f>F13-F12</f>
        <v>181</v>
      </c>
      <c r="I15" t="s">
        <v>14</v>
      </c>
      <c r="J15">
        <v>690</v>
      </c>
      <c r="K15">
        <v>12</v>
      </c>
    </row>
    <row r="16" spans="2:13" x14ac:dyDescent="0.3">
      <c r="I16" s="1" t="s">
        <v>15</v>
      </c>
      <c r="J16" s="1">
        <v>740</v>
      </c>
      <c r="K16" s="1">
        <v>8</v>
      </c>
    </row>
    <row r="17" spans="2:8" x14ac:dyDescent="0.3">
      <c r="B17" s="62" t="s">
        <v>171</v>
      </c>
      <c r="C17" s="62"/>
      <c r="D17" s="99" t="s">
        <v>162</v>
      </c>
      <c r="E17" s="99"/>
      <c r="F17" s="99" t="s">
        <v>163</v>
      </c>
    </row>
    <row r="18" spans="2:8" x14ac:dyDescent="0.3">
      <c r="B18" s="34" t="s">
        <v>48</v>
      </c>
      <c r="C18" s="34" t="s">
        <v>58</v>
      </c>
      <c r="D18" s="108">
        <v>60</v>
      </c>
      <c r="E18" s="108"/>
      <c r="F18" s="108">
        <v>60</v>
      </c>
      <c r="G18" s="106"/>
      <c r="H18" s="107"/>
    </row>
    <row r="19" spans="2:8" x14ac:dyDescent="0.3">
      <c r="B19" s="36" t="s">
        <v>53</v>
      </c>
      <c r="C19" s="36" t="s">
        <v>58</v>
      </c>
      <c r="D19" s="109">
        <f>MROUND(D18/2,1)</f>
        <v>30</v>
      </c>
      <c r="E19" s="109"/>
      <c r="F19" s="109">
        <f t="shared" ref="F19" si="0">MROUND(F18/2,1)</f>
        <v>30</v>
      </c>
      <c r="G19" s="106"/>
      <c r="H19" s="107"/>
    </row>
    <row r="20" spans="2:8" x14ac:dyDescent="0.3">
      <c r="B20" s="36" t="s">
        <v>49</v>
      </c>
      <c r="C20" s="36" t="s">
        <v>58</v>
      </c>
      <c r="D20" s="109">
        <f>D18-D19</f>
        <v>30</v>
      </c>
      <c r="E20" s="109"/>
      <c r="F20" s="109">
        <f>F18-F19</f>
        <v>30</v>
      </c>
      <c r="G20" s="106"/>
      <c r="H20" s="107"/>
    </row>
    <row r="21" spans="2:8" x14ac:dyDescent="0.3">
      <c r="B21" s="36" t="s">
        <v>52</v>
      </c>
      <c r="C21" s="36" t="s">
        <v>58</v>
      </c>
      <c r="D21" s="109">
        <f>MROUND(D18*0.15,1)</f>
        <v>9</v>
      </c>
      <c r="E21" s="109"/>
      <c r="F21" s="109">
        <f t="shared" ref="F21" si="1">MROUND(F18*0.15,1)</f>
        <v>9</v>
      </c>
      <c r="G21" s="106"/>
      <c r="H21" s="107"/>
    </row>
    <row r="22" spans="2:8" x14ac:dyDescent="0.3">
      <c r="B22" s="1" t="s">
        <v>54</v>
      </c>
      <c r="C22" s="1" t="s">
        <v>58</v>
      </c>
      <c r="D22" s="110">
        <f>CEILING(D18/25,1)</f>
        <v>3</v>
      </c>
      <c r="E22" s="110"/>
      <c r="F22" s="110">
        <f t="shared" ref="F22" si="2">CEILING(F18/25,1)</f>
        <v>3</v>
      </c>
      <c r="G22" s="106"/>
      <c r="H22" s="107"/>
    </row>
    <row r="23" spans="2:8" x14ac:dyDescent="0.3">
      <c r="D23" s="6"/>
      <c r="E23" s="6"/>
      <c r="F23" s="6"/>
    </row>
    <row r="24" spans="2:8" x14ac:dyDescent="0.3">
      <c r="B24" s="62" t="s">
        <v>188</v>
      </c>
      <c r="C24" s="62"/>
      <c r="D24" s="99" t="s">
        <v>162</v>
      </c>
      <c r="E24" s="99"/>
      <c r="F24" s="99" t="s">
        <v>163</v>
      </c>
    </row>
    <row r="25" spans="2:8" x14ac:dyDescent="0.3">
      <c r="B25" s="50" t="s">
        <v>164</v>
      </c>
      <c r="C25" s="50"/>
      <c r="D25" s="111" t="s">
        <v>62</v>
      </c>
      <c r="E25" s="111"/>
      <c r="F25" s="111" t="s">
        <v>62</v>
      </c>
      <c r="G25" s="106"/>
      <c r="H25" s="107"/>
    </row>
    <row r="26" spans="2:8" x14ac:dyDescent="0.3">
      <c r="B26" s="9" t="s">
        <v>165</v>
      </c>
      <c r="C26" s="9"/>
      <c r="D26" s="112" t="s">
        <v>61</v>
      </c>
      <c r="E26" s="112"/>
      <c r="F26" s="112" t="s">
        <v>61</v>
      </c>
      <c r="G26" s="106"/>
      <c r="H26" s="107"/>
    </row>
    <row r="27" spans="2:8" x14ac:dyDescent="0.3">
      <c r="B27" s="36" t="s">
        <v>55</v>
      </c>
      <c r="C27" s="36" t="s">
        <v>0</v>
      </c>
      <c r="D27" s="112">
        <v>685</v>
      </c>
      <c r="E27" s="112"/>
      <c r="F27" s="112">
        <v>690</v>
      </c>
      <c r="G27" s="106"/>
      <c r="H27" s="120"/>
    </row>
    <row r="28" spans="2:8" x14ac:dyDescent="0.3">
      <c r="B28" s="36" t="s">
        <v>56</v>
      </c>
      <c r="C28" s="36" t="s">
        <v>4</v>
      </c>
      <c r="D28" s="112">
        <v>9</v>
      </c>
      <c r="E28" s="112"/>
      <c r="F28" s="112">
        <v>9</v>
      </c>
      <c r="G28" s="106"/>
      <c r="H28" s="120"/>
    </row>
    <row r="29" spans="2:8" x14ac:dyDescent="0.3">
      <c r="B29" s="36" t="s">
        <v>50</v>
      </c>
      <c r="C29" s="36" t="s">
        <v>57</v>
      </c>
      <c r="D29" s="109">
        <v>1250</v>
      </c>
      <c r="E29" s="109"/>
      <c r="F29" s="109">
        <v>1250</v>
      </c>
      <c r="G29" s="106"/>
      <c r="H29" s="107"/>
    </row>
    <row r="30" spans="2:8" x14ac:dyDescent="0.3">
      <c r="B30" s="36" t="s">
        <v>51</v>
      </c>
      <c r="C30" s="36" t="s">
        <v>57</v>
      </c>
      <c r="D30" s="109">
        <v>1050</v>
      </c>
      <c r="E30" s="109"/>
      <c r="F30" s="109">
        <v>1050</v>
      </c>
      <c r="G30" s="106"/>
      <c r="H30" s="107"/>
    </row>
    <row r="31" spans="2:8" x14ac:dyDescent="0.3">
      <c r="B31" s="36" t="s">
        <v>38</v>
      </c>
      <c r="C31" s="36" t="s">
        <v>5</v>
      </c>
      <c r="D31" s="79">
        <f>D15/30.4</f>
        <v>6.25</v>
      </c>
      <c r="E31" s="52"/>
      <c r="F31" s="79">
        <f>F15/30.4</f>
        <v>5.9539473684210531</v>
      </c>
    </row>
    <row r="32" spans="2:8" x14ac:dyDescent="0.3">
      <c r="B32" s="36" t="s">
        <v>59</v>
      </c>
      <c r="C32" s="36" t="s">
        <v>0</v>
      </c>
      <c r="D32" s="80">
        <f>D29/1000*D15+Taustalaskenta!D173</f>
        <v>281.5</v>
      </c>
      <c r="E32" s="80"/>
      <c r="F32" s="80">
        <f>F29/1000*F15+Taustalaskenta!F173</f>
        <v>270.25</v>
      </c>
    </row>
    <row r="33" spans="2:6" x14ac:dyDescent="0.3">
      <c r="B33" s="1" t="s">
        <v>89</v>
      </c>
      <c r="C33" s="1" t="s">
        <v>0</v>
      </c>
      <c r="D33" s="81">
        <f>D30/1000*D15+Taustalaskenta!D174</f>
        <v>240.5</v>
      </c>
      <c r="E33" s="81"/>
      <c r="F33" s="81">
        <f>F30/1000*F15+Taustalaskenta!F174</f>
        <v>231.05</v>
      </c>
    </row>
    <row r="34" spans="2:6" x14ac:dyDescent="0.3">
      <c r="D34" s="5"/>
      <c r="E34" s="5"/>
      <c r="F34" s="5"/>
    </row>
    <row r="35" spans="2:6" x14ac:dyDescent="0.3">
      <c r="B35" s="62" t="s">
        <v>154</v>
      </c>
      <c r="C35" s="62"/>
      <c r="D35" s="99" t="s">
        <v>162</v>
      </c>
      <c r="E35" s="99"/>
      <c r="F35" s="99" t="s">
        <v>163</v>
      </c>
    </row>
    <row r="36" spans="2:6" x14ac:dyDescent="0.3">
      <c r="B36" s="34" t="s">
        <v>128</v>
      </c>
      <c r="C36" s="34" t="s">
        <v>31</v>
      </c>
      <c r="D36" s="41">
        <f>Taustalaskenta!D120</f>
        <v>115.33601397485337</v>
      </c>
      <c r="E36" s="35"/>
      <c r="F36" s="41">
        <f>Taustalaskenta!F120</f>
        <v>95.751394807527319</v>
      </c>
    </row>
    <row r="37" spans="2:6" x14ac:dyDescent="0.3">
      <c r="B37" s="36" t="s">
        <v>129</v>
      </c>
      <c r="C37" s="36" t="s">
        <v>31</v>
      </c>
      <c r="D37" s="82">
        <f>Taustalaskenta!D226</f>
        <v>60.675863202580167</v>
      </c>
      <c r="E37" s="37"/>
      <c r="F37" s="82">
        <f>Taustalaskenta!F226</f>
        <v>34.030291513956129</v>
      </c>
    </row>
    <row r="38" spans="2:6" x14ac:dyDescent="0.3">
      <c r="B38" s="36" t="s">
        <v>130</v>
      </c>
      <c r="C38" s="36" t="s">
        <v>31</v>
      </c>
      <c r="D38" s="82">
        <f>Taustalaskenta!D239</f>
        <v>51.400171770608623</v>
      </c>
      <c r="E38" s="37"/>
      <c r="F38" s="82">
        <f>Taustalaskenta!F239</f>
        <v>31.376596701972797</v>
      </c>
    </row>
    <row r="39" spans="2:6" x14ac:dyDescent="0.3">
      <c r="B39" s="36" t="s">
        <v>105</v>
      </c>
      <c r="C39" s="36" t="s">
        <v>31</v>
      </c>
      <c r="D39" s="82">
        <f>Taustalaskenta!D196</f>
        <v>74.963297401633184</v>
      </c>
      <c r="E39" s="37"/>
      <c r="F39" s="82">
        <f>Taustalaskenta!F196</f>
        <v>62.270021951352959</v>
      </c>
    </row>
    <row r="40" spans="2:6" x14ac:dyDescent="0.3">
      <c r="B40" s="1" t="s">
        <v>121</v>
      </c>
      <c r="C40" s="1" t="s">
        <v>31</v>
      </c>
      <c r="D40" s="83">
        <f>Taustalaskenta!D209</f>
        <v>96.430685520553141</v>
      </c>
      <c r="E40" s="38"/>
      <c r="F40" s="83">
        <f>Taustalaskenta!F209</f>
        <v>96.430685520553141</v>
      </c>
    </row>
    <row r="42" spans="2:6" x14ac:dyDescent="0.3">
      <c r="B42" s="62" t="s">
        <v>153</v>
      </c>
      <c r="C42" s="62"/>
      <c r="D42" s="99" t="s">
        <v>162</v>
      </c>
      <c r="E42" s="99"/>
      <c r="F42" s="99" t="s">
        <v>163</v>
      </c>
    </row>
    <row r="43" spans="2:6" x14ac:dyDescent="0.3">
      <c r="B43" s="34" t="s">
        <v>128</v>
      </c>
      <c r="C43" s="34" t="s">
        <v>3</v>
      </c>
      <c r="D43" s="41">
        <f>D18*D36*D$11</f>
        <v>920381.39151932998</v>
      </c>
      <c r="E43" s="41"/>
      <c r="F43" s="41">
        <f>F18*F36*F$11</f>
        <v>764096.13056406798</v>
      </c>
    </row>
    <row r="44" spans="2:6" x14ac:dyDescent="0.3">
      <c r="B44" s="39" t="s">
        <v>129</v>
      </c>
      <c r="C44" s="39" t="s">
        <v>3</v>
      </c>
      <c r="D44" s="98">
        <f>D19*D37*D$11</f>
        <v>242096.69417829486</v>
      </c>
      <c r="E44" s="98"/>
      <c r="F44" s="98">
        <f>F19*F37*F$11</f>
        <v>135780.86314068496</v>
      </c>
    </row>
    <row r="45" spans="2:6" x14ac:dyDescent="0.3">
      <c r="B45" s="39" t="s">
        <v>130</v>
      </c>
      <c r="C45" s="39" t="s">
        <v>3</v>
      </c>
      <c r="D45" s="98">
        <f>D20*D38*D$11</f>
        <v>205086.68536472842</v>
      </c>
      <c r="E45" s="98"/>
      <c r="F45" s="98">
        <f>F20*F38*F$11</f>
        <v>125192.62084087146</v>
      </c>
    </row>
    <row r="46" spans="2:6" x14ac:dyDescent="0.3">
      <c r="B46" s="36" t="s">
        <v>105</v>
      </c>
      <c r="C46" s="36" t="s">
        <v>3</v>
      </c>
      <c r="D46" s="42">
        <f>D21*D39*D$11</f>
        <v>89731.066989754923</v>
      </c>
      <c r="E46" s="42"/>
      <c r="F46" s="42">
        <f>F21*F39*F$11</f>
        <v>74537.21627576949</v>
      </c>
    </row>
    <row r="47" spans="2:6" x14ac:dyDescent="0.3">
      <c r="B47" s="1" t="s">
        <v>121</v>
      </c>
      <c r="C47" s="1" t="s">
        <v>3</v>
      </c>
      <c r="D47" s="43">
        <f>D22*D40*D$11</f>
        <v>38475.843522700707</v>
      </c>
      <c r="E47" s="43"/>
      <c r="F47" s="43">
        <f>F22*F40*F$11</f>
        <v>38475.843522700707</v>
      </c>
    </row>
    <row r="48" spans="2:6" x14ac:dyDescent="0.3">
      <c r="B48" s="40" t="s">
        <v>131</v>
      </c>
      <c r="C48" s="40" t="s">
        <v>3</v>
      </c>
      <c r="D48" s="44">
        <f>SUM(D43:D47)</f>
        <v>1495771.6815748089</v>
      </c>
      <c r="E48" s="44"/>
      <c r="F48" s="44">
        <f>SUM(F43:F47)</f>
        <v>1138082.6743440947</v>
      </c>
    </row>
    <row r="50" spans="2:8" x14ac:dyDescent="0.3">
      <c r="B50" s="34" t="s">
        <v>150</v>
      </c>
      <c r="C50" s="47" t="s">
        <v>3</v>
      </c>
      <c r="D50" s="41">
        <f>Taustalaskenta!D137*D70*D18</f>
        <v>1399372.8</v>
      </c>
      <c r="E50" s="41"/>
      <c r="F50" s="41">
        <f>Taustalaskenta!F137*F70*F18</f>
        <v>1267144.7039999999</v>
      </c>
    </row>
    <row r="51" spans="2:8" x14ac:dyDescent="0.3">
      <c r="B51" s="39" t="s">
        <v>151</v>
      </c>
      <c r="C51" s="39" t="s">
        <v>3</v>
      </c>
      <c r="D51" s="42">
        <f>D50-D43</f>
        <v>478991.40848067007</v>
      </c>
      <c r="E51" s="42"/>
      <c r="F51" s="42">
        <f>F50-F43</f>
        <v>503048.57343593193</v>
      </c>
    </row>
    <row r="52" spans="2:8" x14ac:dyDescent="0.3">
      <c r="B52" s="48" t="s">
        <v>152</v>
      </c>
      <c r="C52" s="48" t="s">
        <v>1</v>
      </c>
      <c r="D52" s="49">
        <f>1+D51/D43</f>
        <v>1.5204270891330927</v>
      </c>
      <c r="E52" s="49"/>
      <c r="F52" s="49">
        <f>1+F51/F43</f>
        <v>1.6583577030609662</v>
      </c>
    </row>
    <row r="53" spans="2:8" x14ac:dyDescent="0.3">
      <c r="D53" s="2"/>
      <c r="E53" s="2"/>
      <c r="F53" s="2"/>
    </row>
    <row r="54" spans="2:8" x14ac:dyDescent="0.3">
      <c r="B54" s="62" t="s">
        <v>132</v>
      </c>
      <c r="C54" s="62"/>
      <c r="D54" s="99" t="s">
        <v>162</v>
      </c>
      <c r="E54" s="99"/>
      <c r="F54" s="99" t="s">
        <v>163</v>
      </c>
    </row>
    <row r="55" spans="2:8" x14ac:dyDescent="0.3">
      <c r="B55" s="100" t="s">
        <v>133</v>
      </c>
      <c r="C55" s="100"/>
      <c r="D55" s="101">
        <f>D28*D11*D18*0.135*20.6</f>
        <v>199731.42000000004</v>
      </c>
      <c r="E55" s="101"/>
      <c r="F55" s="101">
        <f>F28*F11*F18*0.135*20.6</f>
        <v>199731.42000000004</v>
      </c>
    </row>
    <row r="56" spans="2:8" x14ac:dyDescent="0.3">
      <c r="B56" s="36" t="s">
        <v>189</v>
      </c>
      <c r="C56" s="36" t="s">
        <v>0</v>
      </c>
      <c r="D56" s="113">
        <v>80000</v>
      </c>
      <c r="E56" s="113"/>
      <c r="F56" s="113">
        <v>80000</v>
      </c>
      <c r="G56" s="106"/>
      <c r="H56" s="107"/>
    </row>
    <row r="57" spans="2:8" x14ac:dyDescent="0.3">
      <c r="B57" s="36" t="s">
        <v>134</v>
      </c>
      <c r="C57" s="36" t="s">
        <v>1</v>
      </c>
      <c r="D57" s="114">
        <v>0.4</v>
      </c>
      <c r="E57" s="114"/>
      <c r="F57" s="114">
        <v>0.4</v>
      </c>
      <c r="G57" s="106"/>
      <c r="H57" s="107"/>
    </row>
    <row r="58" spans="2:8" x14ac:dyDescent="0.3">
      <c r="B58" s="36" t="s">
        <v>135</v>
      </c>
      <c r="C58" s="36" t="s">
        <v>191</v>
      </c>
      <c r="D58" s="87">
        <v>640</v>
      </c>
      <c r="E58" s="87"/>
      <c r="F58" s="87">
        <v>640</v>
      </c>
      <c r="G58" s="106"/>
      <c r="H58" s="107"/>
    </row>
    <row r="59" spans="2:8" x14ac:dyDescent="0.3">
      <c r="B59" s="102" t="s">
        <v>136</v>
      </c>
      <c r="C59" s="102" t="s">
        <v>3</v>
      </c>
      <c r="D59" s="103">
        <f>D69*0.016*D56*D57</f>
        <v>327680</v>
      </c>
      <c r="E59" s="103"/>
      <c r="F59" s="103">
        <f>F69*0.016*F56*F57</f>
        <v>327680</v>
      </c>
    </row>
    <row r="60" spans="2:8" x14ac:dyDescent="0.3">
      <c r="B60" s="36" t="s">
        <v>190</v>
      </c>
      <c r="C60" s="36" t="s">
        <v>0</v>
      </c>
      <c r="D60" s="113">
        <f>30*60</f>
        <v>1800</v>
      </c>
      <c r="E60" s="113"/>
      <c r="F60" s="113">
        <f>30*60</f>
        <v>1800</v>
      </c>
      <c r="G60" s="106"/>
      <c r="H60" s="107"/>
    </row>
    <row r="61" spans="2:8" x14ac:dyDescent="0.3">
      <c r="B61" s="36" t="s">
        <v>138</v>
      </c>
      <c r="C61" s="36" t="s">
        <v>1</v>
      </c>
      <c r="D61" s="114">
        <v>0.86</v>
      </c>
      <c r="E61" s="114"/>
      <c r="F61" s="114">
        <v>0.86</v>
      </c>
      <c r="G61" s="106"/>
      <c r="H61" s="107"/>
    </row>
    <row r="62" spans="2:8" x14ac:dyDescent="0.3">
      <c r="B62" s="36" t="s">
        <v>139</v>
      </c>
      <c r="C62" s="36" t="s">
        <v>44</v>
      </c>
      <c r="D62" s="87">
        <v>12.5</v>
      </c>
      <c r="E62" s="87"/>
      <c r="F62" s="87">
        <v>12.5</v>
      </c>
      <c r="G62" s="106"/>
      <c r="H62" s="107"/>
    </row>
    <row r="63" spans="2:8" x14ac:dyDescent="0.3">
      <c r="B63" s="1" t="s">
        <v>140</v>
      </c>
      <c r="C63" s="1" t="s">
        <v>3</v>
      </c>
      <c r="D63" s="43">
        <f>D60*D61*D62</f>
        <v>19350</v>
      </c>
      <c r="E63" s="43"/>
      <c r="F63" s="43">
        <f>F60*F61*F62</f>
        <v>19350</v>
      </c>
    </row>
    <row r="64" spans="2:8" x14ac:dyDescent="0.3">
      <c r="B64" s="56" t="s">
        <v>137</v>
      </c>
      <c r="C64" s="56" t="s">
        <v>3</v>
      </c>
      <c r="D64" s="57">
        <f>D55+D59+D63</f>
        <v>546761.42000000004</v>
      </c>
      <c r="E64" s="57"/>
      <c r="F64" s="57">
        <f>F55+F59+F63</f>
        <v>546761.42000000004</v>
      </c>
    </row>
    <row r="65" spans="2:8" x14ac:dyDescent="0.3">
      <c r="B65" s="33" t="s">
        <v>141</v>
      </c>
      <c r="C65" s="33" t="s">
        <v>3</v>
      </c>
      <c r="D65" s="58">
        <f>D48-D64</f>
        <v>949010.26157480886</v>
      </c>
      <c r="E65" s="58"/>
      <c r="F65" s="58">
        <f>F48-F64</f>
        <v>591321.25434409466</v>
      </c>
    </row>
    <row r="66" spans="2:8" x14ac:dyDescent="0.3">
      <c r="D66" s="5"/>
      <c r="E66" s="5"/>
      <c r="F66" s="5"/>
    </row>
    <row r="67" spans="2:8" x14ac:dyDescent="0.3">
      <c r="B67" s="62" t="s">
        <v>192</v>
      </c>
      <c r="C67" s="62"/>
      <c r="D67" s="99" t="s">
        <v>162</v>
      </c>
      <c r="E67" s="99"/>
      <c r="F67" s="99" t="s">
        <v>163</v>
      </c>
    </row>
    <row r="68" spans="2:8" x14ac:dyDescent="0.3">
      <c r="B68" t="s">
        <v>143</v>
      </c>
      <c r="C68" t="s">
        <v>144</v>
      </c>
      <c r="D68" s="115">
        <v>40</v>
      </c>
      <c r="E68" s="115"/>
      <c r="F68" s="115">
        <v>30</v>
      </c>
      <c r="G68" s="106"/>
      <c r="H68" s="107"/>
    </row>
    <row r="69" spans="2:8" x14ac:dyDescent="0.3">
      <c r="B69" s="85" t="s">
        <v>127</v>
      </c>
      <c r="C69" s="36" t="s">
        <v>191</v>
      </c>
      <c r="D69" s="116">
        <v>640</v>
      </c>
      <c r="E69" s="116"/>
      <c r="F69" s="116">
        <v>640</v>
      </c>
      <c r="G69" s="106"/>
      <c r="H69" s="107"/>
    </row>
    <row r="70" spans="2:8" x14ac:dyDescent="0.3">
      <c r="B70" s="19" t="s">
        <v>43</v>
      </c>
      <c r="C70" t="s">
        <v>44</v>
      </c>
      <c r="D70" s="51">
        <f>D69*0.016</f>
        <v>10.24</v>
      </c>
      <c r="E70" s="51"/>
      <c r="F70" s="51">
        <f t="shared" ref="F70" si="3">F69*0.016</f>
        <v>10.24</v>
      </c>
    </row>
    <row r="71" spans="2:8" x14ac:dyDescent="0.3">
      <c r="B71" t="s">
        <v>142</v>
      </c>
      <c r="C71" t="s">
        <v>0</v>
      </c>
      <c r="D71" s="45">
        <f>D65/D70</f>
        <v>92676.783356914922</v>
      </c>
      <c r="E71" s="45"/>
      <c r="F71" s="45">
        <f>F65/F70</f>
        <v>57746.21624454049</v>
      </c>
    </row>
    <row r="72" spans="2:8" x14ac:dyDescent="0.3">
      <c r="B72" s="53" t="s">
        <v>156</v>
      </c>
      <c r="C72" s="53" t="s">
        <v>145</v>
      </c>
      <c r="D72" s="54">
        <f>D71/D68</f>
        <v>2316.9195839228732</v>
      </c>
      <c r="E72" s="54"/>
      <c r="F72" s="54">
        <f>F71/F68</f>
        <v>1924.8738748180162</v>
      </c>
    </row>
    <row r="73" spans="2:8" x14ac:dyDescent="0.3">
      <c r="B73" s="53" t="s">
        <v>148</v>
      </c>
      <c r="C73" s="53" t="s">
        <v>145</v>
      </c>
      <c r="D73" s="54">
        <f>(D71+Taustalaskenta!D140)/D68</f>
        <v>3486.3322022838838</v>
      </c>
      <c r="E73" s="54"/>
      <c r="F73" s="54">
        <f>(F71+Taustalaskenta!F140)/F68</f>
        <v>3562.401783138107</v>
      </c>
      <c r="H73" t="s">
        <v>149</v>
      </c>
    </row>
    <row r="74" spans="2:8" x14ac:dyDescent="0.3">
      <c r="B74" t="s">
        <v>155</v>
      </c>
      <c r="C74" s="59" t="s">
        <v>145</v>
      </c>
      <c r="D74" s="45">
        <f>D73-D72</f>
        <v>1169.4126183610106</v>
      </c>
      <c r="E74" s="45"/>
      <c r="F74" s="45">
        <f>F73-F72</f>
        <v>1637.5279083200908</v>
      </c>
    </row>
    <row r="75" spans="2:8" x14ac:dyDescent="0.3">
      <c r="B75" t="s">
        <v>155</v>
      </c>
      <c r="C75" s="59" t="s">
        <v>1</v>
      </c>
      <c r="D75" s="46">
        <f>1+D74/D72</f>
        <v>1.50472732263803</v>
      </c>
      <c r="E75" s="46"/>
      <c r="F75" s="46">
        <f>1+F74/F72</f>
        <v>1.8507195872638191</v>
      </c>
    </row>
    <row r="76" spans="2:8" x14ac:dyDescent="0.3">
      <c r="B76" t="s">
        <v>157</v>
      </c>
      <c r="C76" s="59" t="s">
        <v>159</v>
      </c>
      <c r="D76" s="117">
        <v>0.25</v>
      </c>
      <c r="E76" s="117"/>
      <c r="F76" s="117">
        <v>0.25</v>
      </c>
      <c r="G76" s="106"/>
      <c r="H76" s="107"/>
    </row>
    <row r="77" spans="2:8" x14ac:dyDescent="0.3">
      <c r="B77" s="53" t="s">
        <v>158</v>
      </c>
      <c r="C77" s="53" t="s">
        <v>145</v>
      </c>
      <c r="D77" s="54">
        <f>D74*D76+D72</f>
        <v>2609.2727385131257</v>
      </c>
      <c r="E77" s="54"/>
      <c r="F77" s="54">
        <f>F74*F76+F72</f>
        <v>2334.2558518980391</v>
      </c>
    </row>
    <row r="78" spans="2:8" x14ac:dyDescent="0.3">
      <c r="C78" s="59"/>
      <c r="D78" s="46"/>
      <c r="E78" s="46"/>
      <c r="F78" s="46"/>
    </row>
    <row r="79" spans="2:8" x14ac:dyDescent="0.3">
      <c r="C79" s="59"/>
      <c r="D79" s="46"/>
      <c r="E79" s="46"/>
      <c r="F79" s="46"/>
    </row>
    <row r="80" spans="2:8" x14ac:dyDescent="0.3">
      <c r="C80" s="59"/>
      <c r="D80" s="46"/>
      <c r="E80" s="46"/>
      <c r="F80" s="46"/>
    </row>
    <row r="81" spans="3:6" x14ac:dyDescent="0.3">
      <c r="C81" s="59"/>
      <c r="D81" s="46"/>
      <c r="E81" s="46"/>
      <c r="F81" s="46"/>
    </row>
    <row r="82" spans="3:6" x14ac:dyDescent="0.3">
      <c r="C82" s="59"/>
      <c r="D82" s="46"/>
      <c r="E82" s="46"/>
      <c r="F82" s="46"/>
    </row>
    <row r="83" spans="3:6" x14ac:dyDescent="0.3">
      <c r="C83" s="59"/>
      <c r="D83" s="46"/>
      <c r="E83" s="46"/>
      <c r="F83" s="46"/>
    </row>
    <row r="84" spans="3:6" x14ac:dyDescent="0.3">
      <c r="C84" s="59"/>
      <c r="D84" s="46"/>
      <c r="E84" s="46"/>
      <c r="F84" s="46"/>
    </row>
    <row r="85" spans="3:6" x14ac:dyDescent="0.3">
      <c r="C85" s="59"/>
      <c r="D85" s="46"/>
      <c r="E85" s="46"/>
      <c r="F85" s="46"/>
    </row>
    <row r="86" spans="3:6" x14ac:dyDescent="0.3">
      <c r="C86" s="59"/>
      <c r="D86" s="46"/>
      <c r="E86" s="46"/>
      <c r="F86" s="46"/>
    </row>
    <row r="87" spans="3:6" x14ac:dyDescent="0.3">
      <c r="C87" s="59"/>
      <c r="D87" s="46"/>
      <c r="E87" s="46"/>
      <c r="F87" s="46"/>
    </row>
    <row r="88" spans="3:6" x14ac:dyDescent="0.3">
      <c r="C88" s="59"/>
      <c r="D88" s="46"/>
      <c r="E88" s="46"/>
      <c r="F88" s="46"/>
    </row>
    <row r="89" spans="3:6" x14ac:dyDescent="0.3">
      <c r="C89" s="59"/>
      <c r="D89" s="46"/>
      <c r="E89" s="46"/>
      <c r="F89" s="46"/>
    </row>
    <row r="90" spans="3:6" x14ac:dyDescent="0.3">
      <c r="C90" s="59"/>
      <c r="D90" s="46"/>
      <c r="E90" s="46"/>
      <c r="F90" s="46"/>
    </row>
    <row r="91" spans="3:6" x14ac:dyDescent="0.3">
      <c r="C91" s="59"/>
      <c r="D91" s="46"/>
      <c r="E91" s="46"/>
      <c r="F91" s="46"/>
    </row>
    <row r="92" spans="3:6" x14ac:dyDescent="0.3">
      <c r="D92" s="5"/>
      <c r="E92" s="5"/>
      <c r="F92" s="5"/>
    </row>
  </sheetData>
  <sheetProtection algorithmName="SHA-512" hashValue="rUp3YvwbkHf+THCXsocwSKFAYzrfsTI/klKnir9YsRm+dEUzALqGXbBUzIoRmaP/N6XVogGDJ4Q+dhaB3FFqzA==" saltValue="DMOGQfI22yQYZWmrnfsETg==" spinCount="100000" sheet="1" objects="1" scenarios="1"/>
  <dataValidations count="1">
    <dataValidation type="list" allowBlank="1" showInputMessage="1" showErrorMessage="1" sqref="D25:F26" xr:uid="{00000000-0002-0000-0000-000000000000}">
      <formula1>$I$5:$I$7</formula1>
    </dataValidation>
  </dataValidations>
  <printOptions horizontalCentered="1"/>
  <pageMargins left="0.39370078740157483" right="0.39370078740157483" top="0.39370078740157483" bottom="0.39370078740157483" header="0.31496062992125984" footer="0.31496062992125984"/>
  <pageSetup paperSize="9" scale="95" orientation="portrait" r:id="rId1"/>
  <rowBreaks count="1" manualBreakCount="1">
    <brk id="53" max="6" man="1"/>
  </rowBreaks>
  <colBreaks count="1" manualBreakCount="1">
    <brk id="7"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D167D-5F90-4368-BF2B-39562760DD71}">
  <dimension ref="A2:M239"/>
  <sheetViews>
    <sheetView zoomScaleNormal="100" workbookViewId="0">
      <selection activeCell="J28" sqref="J28"/>
    </sheetView>
  </sheetViews>
  <sheetFormatPr defaultRowHeight="14.4" x14ac:dyDescent="0.3"/>
  <cols>
    <col min="1" max="1" width="2.77734375" style="36" customWidth="1"/>
    <col min="2" max="2" width="47.88671875" customWidth="1"/>
    <col min="4" max="4" width="12.44140625" bestFit="1" customWidth="1"/>
    <col min="5" max="5" width="5.5546875" customWidth="1"/>
    <col min="6" max="6" width="12.44140625" bestFit="1" customWidth="1"/>
    <col min="7" max="7" width="2.6640625" style="36" customWidth="1"/>
    <col min="11" max="11" width="10.77734375" bestFit="1" customWidth="1"/>
  </cols>
  <sheetData>
    <row r="2" spans="2:13" x14ac:dyDescent="0.3">
      <c r="I2" s="119"/>
      <c r="J2" s="119"/>
      <c r="K2" s="119"/>
      <c r="L2" s="119"/>
      <c r="M2" s="119"/>
    </row>
    <row r="3" spans="2:13" x14ac:dyDescent="0.3">
      <c r="I3" s="119"/>
      <c r="J3" s="119"/>
      <c r="K3" s="119"/>
      <c r="L3" s="119"/>
      <c r="M3" s="119"/>
    </row>
    <row r="4" spans="2:13" x14ac:dyDescent="0.3">
      <c r="I4" s="119"/>
      <c r="J4" s="119"/>
      <c r="K4" s="119"/>
      <c r="L4" s="119"/>
      <c r="M4" s="119"/>
    </row>
    <row r="5" spans="2:13" ht="21" x14ac:dyDescent="0.4">
      <c r="B5" s="4" t="s">
        <v>32</v>
      </c>
      <c r="I5" s="118" t="s">
        <v>60</v>
      </c>
      <c r="J5" s="118">
        <v>1</v>
      </c>
      <c r="K5" s="118">
        <f>VLOOKUP(D25,I5:J7,2,0)</f>
        <v>3</v>
      </c>
      <c r="L5" s="118">
        <f>VLOOKUP(F25,I5:J7,2,0)</f>
        <v>3</v>
      </c>
      <c r="M5" s="119"/>
    </row>
    <row r="6" spans="2:13" x14ac:dyDescent="0.3">
      <c r="B6" s="5" t="s">
        <v>169</v>
      </c>
      <c r="I6" s="118" t="s">
        <v>61</v>
      </c>
      <c r="J6" s="118">
        <v>2</v>
      </c>
      <c r="K6" s="118">
        <f>VLOOKUP(D26,I5:J7,2,0)</f>
        <v>2</v>
      </c>
      <c r="L6" s="118">
        <f>VLOOKUP(F26,I5:J7,2,0)</f>
        <v>2</v>
      </c>
      <c r="M6" s="119"/>
    </row>
    <row r="7" spans="2:13" x14ac:dyDescent="0.3">
      <c r="I7" s="118" t="s">
        <v>62</v>
      </c>
      <c r="J7" s="118">
        <v>3</v>
      </c>
      <c r="K7" s="118"/>
      <c r="L7" s="118"/>
      <c r="M7" s="119"/>
    </row>
    <row r="8" spans="2:13" x14ac:dyDescent="0.3">
      <c r="B8" s="62" t="s">
        <v>187</v>
      </c>
      <c r="C8" s="62"/>
      <c r="D8" s="99" t="s">
        <v>162</v>
      </c>
      <c r="E8" s="99"/>
      <c r="F8" s="99" t="s">
        <v>163</v>
      </c>
      <c r="I8" s="119" t="s">
        <v>160</v>
      </c>
      <c r="J8" s="119"/>
      <c r="K8" s="119"/>
      <c r="L8" s="119"/>
      <c r="M8" s="119"/>
    </row>
    <row r="9" spans="2:13" x14ac:dyDescent="0.3">
      <c r="B9" s="34" t="s">
        <v>35</v>
      </c>
      <c r="C9" s="34" t="s">
        <v>39</v>
      </c>
      <c r="D9" s="104">
        <f>'Laitumen sadon arviointia'!D9</f>
        <v>44348</v>
      </c>
      <c r="E9" s="104"/>
      <c r="F9" s="104">
        <f>'Laitumen sadon arviointia'!F9</f>
        <v>44348</v>
      </c>
      <c r="J9" t="s">
        <v>193</v>
      </c>
      <c r="K9" t="s">
        <v>193</v>
      </c>
    </row>
    <row r="10" spans="2:13" x14ac:dyDescent="0.3">
      <c r="B10" s="36" t="s">
        <v>36</v>
      </c>
      <c r="C10" s="36" t="s">
        <v>39</v>
      </c>
      <c r="D10" s="105">
        <f>'Laitumen sadon arviointia'!D10</f>
        <v>44481</v>
      </c>
      <c r="E10" s="105"/>
      <c r="F10" s="105">
        <f>'Laitumen sadon arviointia'!F10</f>
        <v>44481</v>
      </c>
      <c r="I10" s="1" t="s">
        <v>161</v>
      </c>
      <c r="J10" s="1" t="s">
        <v>194</v>
      </c>
      <c r="K10" s="1" t="s">
        <v>195</v>
      </c>
    </row>
    <row r="11" spans="2:13" x14ac:dyDescent="0.3">
      <c r="B11" s="36" t="s">
        <v>37</v>
      </c>
      <c r="C11" s="36" t="s">
        <v>2</v>
      </c>
      <c r="D11" s="52">
        <f>D10-D9</f>
        <v>133</v>
      </c>
      <c r="E11" s="52"/>
      <c r="F11" s="52">
        <f>F10-F9</f>
        <v>133</v>
      </c>
      <c r="I11" t="s">
        <v>10</v>
      </c>
      <c r="J11">
        <v>685</v>
      </c>
      <c r="K11">
        <v>9</v>
      </c>
    </row>
    <row r="12" spans="2:13" x14ac:dyDescent="0.3">
      <c r="B12" s="36" t="s">
        <v>33</v>
      </c>
      <c r="C12" s="36" t="s">
        <v>39</v>
      </c>
      <c r="D12" s="105">
        <f>'Laitumen sadon arviointia'!D12</f>
        <v>44291</v>
      </c>
      <c r="E12" s="105"/>
      <c r="F12" s="105">
        <f>'Laitumen sadon arviointia'!F12</f>
        <v>44440</v>
      </c>
      <c r="G12" s="106"/>
      <c r="H12" s="107"/>
      <c r="I12" t="s">
        <v>11</v>
      </c>
      <c r="J12">
        <v>690</v>
      </c>
      <c r="K12">
        <v>8</v>
      </c>
    </row>
    <row r="13" spans="2:13" x14ac:dyDescent="0.3">
      <c r="B13" s="36" t="s">
        <v>34</v>
      </c>
      <c r="C13" s="36" t="s">
        <v>39</v>
      </c>
      <c r="D13" s="105">
        <f>'Laitumen sadon arviointia'!D13</f>
        <v>44481</v>
      </c>
      <c r="E13" s="105"/>
      <c r="F13" s="105">
        <f>'Laitumen sadon arviointia'!F13</f>
        <v>44621</v>
      </c>
      <c r="G13" s="106"/>
      <c r="H13" s="107"/>
      <c r="I13" t="s">
        <v>12</v>
      </c>
      <c r="J13">
        <v>715</v>
      </c>
      <c r="K13">
        <v>6</v>
      </c>
    </row>
    <row r="14" spans="2:13" x14ac:dyDescent="0.3">
      <c r="B14" s="39" t="s">
        <v>176</v>
      </c>
      <c r="C14" s="39" t="s">
        <v>2</v>
      </c>
      <c r="D14" s="52">
        <f>D105</f>
        <v>133</v>
      </c>
      <c r="E14" s="52"/>
      <c r="F14" s="52">
        <f>F105</f>
        <v>41</v>
      </c>
      <c r="I14" t="s">
        <v>13</v>
      </c>
      <c r="J14">
        <v>705</v>
      </c>
      <c r="K14">
        <v>6</v>
      </c>
    </row>
    <row r="15" spans="2:13" x14ac:dyDescent="0.3">
      <c r="B15" s="1" t="s">
        <v>38</v>
      </c>
      <c r="C15" s="1" t="s">
        <v>2</v>
      </c>
      <c r="D15" s="63">
        <f>D13-D12</f>
        <v>190</v>
      </c>
      <c r="E15" s="63"/>
      <c r="F15" s="63">
        <f>F13-F12</f>
        <v>181</v>
      </c>
      <c r="I15" t="s">
        <v>14</v>
      </c>
      <c r="J15">
        <v>690</v>
      </c>
      <c r="K15">
        <v>12</v>
      </c>
    </row>
    <row r="16" spans="2:13" x14ac:dyDescent="0.3">
      <c r="I16" s="1" t="s">
        <v>15</v>
      </c>
      <c r="J16" s="1">
        <v>740</v>
      </c>
      <c r="K16" s="1">
        <v>8</v>
      </c>
    </row>
    <row r="17" spans="2:8" x14ac:dyDescent="0.3">
      <c r="B17" s="62" t="s">
        <v>171</v>
      </c>
      <c r="C17" s="62"/>
      <c r="D17" s="99" t="s">
        <v>162</v>
      </c>
      <c r="E17" s="99"/>
      <c r="F17" s="99" t="s">
        <v>163</v>
      </c>
    </row>
    <row r="18" spans="2:8" x14ac:dyDescent="0.3">
      <c r="B18" s="34" t="s">
        <v>48</v>
      </c>
      <c r="C18" s="34" t="s">
        <v>58</v>
      </c>
      <c r="D18" s="108">
        <f>'Laitumen sadon arviointia'!D18</f>
        <v>60</v>
      </c>
      <c r="E18" s="108"/>
      <c r="F18" s="108">
        <f>'Laitumen sadon arviointia'!F18</f>
        <v>60</v>
      </c>
      <c r="G18" s="106"/>
      <c r="H18" s="107"/>
    </row>
    <row r="19" spans="2:8" x14ac:dyDescent="0.3">
      <c r="B19" s="36" t="s">
        <v>53</v>
      </c>
      <c r="C19" s="36" t="s">
        <v>58</v>
      </c>
      <c r="D19" s="109">
        <f>'Laitumen sadon arviointia'!D19</f>
        <v>30</v>
      </c>
      <c r="E19" s="109"/>
      <c r="F19" s="109">
        <f>'Laitumen sadon arviointia'!F19</f>
        <v>30</v>
      </c>
      <c r="G19" s="106"/>
      <c r="H19" s="107"/>
    </row>
    <row r="20" spans="2:8" x14ac:dyDescent="0.3">
      <c r="B20" s="36" t="s">
        <v>49</v>
      </c>
      <c r="C20" s="36" t="s">
        <v>58</v>
      </c>
      <c r="D20" s="109">
        <f>'Laitumen sadon arviointia'!D20</f>
        <v>30</v>
      </c>
      <c r="E20" s="109"/>
      <c r="F20" s="109">
        <f>'Laitumen sadon arviointia'!F20</f>
        <v>30</v>
      </c>
      <c r="G20" s="106"/>
      <c r="H20" s="107"/>
    </row>
    <row r="21" spans="2:8" x14ac:dyDescent="0.3">
      <c r="B21" s="36" t="s">
        <v>52</v>
      </c>
      <c r="C21" s="36" t="s">
        <v>58</v>
      </c>
      <c r="D21" s="109">
        <f>'Laitumen sadon arviointia'!D21</f>
        <v>9</v>
      </c>
      <c r="E21" s="109"/>
      <c r="F21" s="109">
        <f>'Laitumen sadon arviointia'!F21</f>
        <v>9</v>
      </c>
      <c r="G21" s="106"/>
      <c r="H21" s="107"/>
    </row>
    <row r="22" spans="2:8" x14ac:dyDescent="0.3">
      <c r="B22" s="1" t="s">
        <v>54</v>
      </c>
      <c r="C22" s="1" t="s">
        <v>58</v>
      </c>
      <c r="D22" s="110">
        <f>'Laitumen sadon arviointia'!D22</f>
        <v>3</v>
      </c>
      <c r="E22" s="110"/>
      <c r="F22" s="110">
        <f>'Laitumen sadon arviointia'!F22</f>
        <v>3</v>
      </c>
      <c r="G22" s="106"/>
      <c r="H22" s="107"/>
    </row>
    <row r="23" spans="2:8" x14ac:dyDescent="0.3">
      <c r="D23" s="6"/>
      <c r="E23" s="6"/>
      <c r="F23" s="6"/>
    </row>
    <row r="24" spans="2:8" x14ac:dyDescent="0.3">
      <c r="B24" s="62" t="s">
        <v>188</v>
      </c>
      <c r="C24" s="62"/>
      <c r="D24" s="99" t="s">
        <v>162</v>
      </c>
      <c r="E24" s="99"/>
      <c r="F24" s="99" t="s">
        <v>163</v>
      </c>
    </row>
    <row r="25" spans="2:8" x14ac:dyDescent="0.3">
      <c r="B25" s="50" t="s">
        <v>164</v>
      </c>
      <c r="C25" s="50"/>
      <c r="D25" s="111" t="str">
        <f>'Laitumen sadon arviointia'!D25</f>
        <v>Pieni (ab, hf)</v>
      </c>
      <c r="E25" s="111"/>
      <c r="F25" s="111" t="str">
        <f>'Laitumen sadon arviointia'!F25</f>
        <v>Pieni (ab, hf)</v>
      </c>
      <c r="G25" s="106"/>
      <c r="H25" s="107"/>
    </row>
    <row r="26" spans="2:8" x14ac:dyDescent="0.3">
      <c r="B26" s="9" t="s">
        <v>165</v>
      </c>
      <c r="C26" s="9"/>
      <c r="D26" s="112" t="str">
        <f>'Laitumen sadon arviointia'!D26</f>
        <v>Keski (li, ba)</v>
      </c>
      <c r="E26" s="112"/>
      <c r="F26" s="112" t="str">
        <f>'Laitumen sadon arviointia'!F26</f>
        <v>Keski (li, ba)</v>
      </c>
      <c r="G26" s="106"/>
      <c r="H26" s="107"/>
    </row>
    <row r="27" spans="2:8" x14ac:dyDescent="0.3">
      <c r="B27" s="36" t="s">
        <v>55</v>
      </c>
      <c r="C27" s="36" t="s">
        <v>0</v>
      </c>
      <c r="D27" s="112">
        <f>'Laitumen sadon arviointia'!D27</f>
        <v>685</v>
      </c>
      <c r="E27" s="112"/>
      <c r="F27" s="112">
        <f>'Laitumen sadon arviointia'!F27</f>
        <v>690</v>
      </c>
      <c r="G27" s="106"/>
      <c r="H27" s="107"/>
    </row>
    <row r="28" spans="2:8" x14ac:dyDescent="0.3">
      <c r="B28" s="36" t="s">
        <v>56</v>
      </c>
      <c r="C28" s="36" t="s">
        <v>4</v>
      </c>
      <c r="D28" s="112">
        <f>'Laitumen sadon arviointia'!D28</f>
        <v>9</v>
      </c>
      <c r="E28" s="112"/>
      <c r="F28" s="112">
        <f>'Laitumen sadon arviointia'!F28</f>
        <v>9</v>
      </c>
      <c r="G28" s="106"/>
      <c r="H28" s="107"/>
    </row>
    <row r="29" spans="2:8" x14ac:dyDescent="0.3">
      <c r="B29" s="36" t="s">
        <v>50</v>
      </c>
      <c r="C29" s="36" t="s">
        <v>57</v>
      </c>
      <c r="D29" s="109">
        <f>'Laitumen sadon arviointia'!D29</f>
        <v>1250</v>
      </c>
      <c r="E29" s="109"/>
      <c r="F29" s="109">
        <f>'Laitumen sadon arviointia'!F29</f>
        <v>1250</v>
      </c>
      <c r="G29" s="106"/>
      <c r="H29" s="107"/>
    </row>
    <row r="30" spans="2:8" x14ac:dyDescent="0.3">
      <c r="B30" s="36" t="s">
        <v>51</v>
      </c>
      <c r="C30" s="36" t="s">
        <v>57</v>
      </c>
      <c r="D30" s="109">
        <f>'Laitumen sadon arviointia'!D30</f>
        <v>1050</v>
      </c>
      <c r="E30" s="109"/>
      <c r="F30" s="109">
        <f>'Laitumen sadon arviointia'!F30</f>
        <v>1050</v>
      </c>
      <c r="G30" s="106"/>
      <c r="H30" s="107"/>
    </row>
    <row r="31" spans="2:8" x14ac:dyDescent="0.3">
      <c r="B31" s="36" t="s">
        <v>38</v>
      </c>
      <c r="C31" s="36" t="s">
        <v>5</v>
      </c>
      <c r="D31" s="79">
        <f>D15/30.4</f>
        <v>6.25</v>
      </c>
      <c r="E31" s="52"/>
      <c r="F31" s="79">
        <f>F15/30.4</f>
        <v>5.9539473684210531</v>
      </c>
    </row>
    <row r="32" spans="2:8" x14ac:dyDescent="0.3">
      <c r="B32" s="36" t="s">
        <v>59</v>
      </c>
      <c r="C32" s="36" t="s">
        <v>0</v>
      </c>
      <c r="D32" s="80">
        <f>D29/1000*D15+D173</f>
        <v>281.5</v>
      </c>
      <c r="E32" s="80"/>
      <c r="F32" s="80">
        <f>F29/1000*F15+F173</f>
        <v>270.25</v>
      </c>
    </row>
    <row r="33" spans="2:6" x14ac:dyDescent="0.3">
      <c r="B33" s="1" t="s">
        <v>89</v>
      </c>
      <c r="C33" s="1" t="s">
        <v>0</v>
      </c>
      <c r="D33" s="81">
        <f>D30/1000*D15+D174</f>
        <v>240.5</v>
      </c>
      <c r="E33" s="81"/>
      <c r="F33" s="81">
        <f>F30/1000*F15+F174</f>
        <v>231.05</v>
      </c>
    </row>
    <row r="34" spans="2:6" x14ac:dyDescent="0.3">
      <c r="D34" s="5"/>
      <c r="E34" s="5"/>
      <c r="F34" s="5"/>
    </row>
    <row r="35" spans="2:6" x14ac:dyDescent="0.3">
      <c r="B35" s="62" t="s">
        <v>154</v>
      </c>
      <c r="C35" s="62"/>
      <c r="D35" s="99" t="s">
        <v>162</v>
      </c>
      <c r="E35" s="99"/>
      <c r="F35" s="99" t="s">
        <v>163</v>
      </c>
    </row>
    <row r="36" spans="2:6" x14ac:dyDescent="0.3">
      <c r="B36" s="34" t="s">
        <v>128</v>
      </c>
      <c r="C36" s="34" t="s">
        <v>31</v>
      </c>
      <c r="D36" s="41">
        <f>D120</f>
        <v>115.33601397485337</v>
      </c>
      <c r="E36" s="35"/>
      <c r="F36" s="41">
        <f>F120</f>
        <v>95.751394807527319</v>
      </c>
    </row>
    <row r="37" spans="2:6" x14ac:dyDescent="0.3">
      <c r="B37" s="36" t="s">
        <v>129</v>
      </c>
      <c r="C37" s="36" t="s">
        <v>31</v>
      </c>
      <c r="D37" s="82">
        <f>D226</f>
        <v>60.675863202580167</v>
      </c>
      <c r="E37" s="37"/>
      <c r="F37" s="82">
        <f>F226</f>
        <v>34.030291513956129</v>
      </c>
    </row>
    <row r="38" spans="2:6" x14ac:dyDescent="0.3">
      <c r="B38" s="36" t="s">
        <v>130</v>
      </c>
      <c r="C38" s="36" t="s">
        <v>31</v>
      </c>
      <c r="D38" s="82">
        <f>D239</f>
        <v>51.400171770608623</v>
      </c>
      <c r="E38" s="37"/>
      <c r="F38" s="82">
        <f>F239</f>
        <v>31.376596701972797</v>
      </c>
    </row>
    <row r="39" spans="2:6" x14ac:dyDescent="0.3">
      <c r="B39" s="36" t="s">
        <v>105</v>
      </c>
      <c r="C39" s="36" t="s">
        <v>31</v>
      </c>
      <c r="D39" s="82">
        <f>D196</f>
        <v>74.963297401633184</v>
      </c>
      <c r="E39" s="37"/>
      <c r="F39" s="82">
        <f>F196</f>
        <v>62.270021951352959</v>
      </c>
    </row>
    <row r="40" spans="2:6" x14ac:dyDescent="0.3">
      <c r="B40" s="1" t="s">
        <v>121</v>
      </c>
      <c r="C40" s="1" t="s">
        <v>31</v>
      </c>
      <c r="D40" s="83">
        <f>D209</f>
        <v>96.430685520553141</v>
      </c>
      <c r="E40" s="38"/>
      <c r="F40" s="83">
        <f>F209</f>
        <v>96.430685520553141</v>
      </c>
    </row>
    <row r="42" spans="2:6" x14ac:dyDescent="0.3">
      <c r="B42" s="62" t="s">
        <v>153</v>
      </c>
      <c r="C42" s="62"/>
      <c r="D42" s="99" t="s">
        <v>162</v>
      </c>
      <c r="E42" s="99"/>
      <c r="F42" s="99" t="s">
        <v>163</v>
      </c>
    </row>
    <row r="43" spans="2:6" x14ac:dyDescent="0.3">
      <c r="B43" s="34" t="s">
        <v>128</v>
      </c>
      <c r="C43" s="34" t="s">
        <v>3</v>
      </c>
      <c r="D43" s="41">
        <f>D18*D36*D$11</f>
        <v>920381.39151932998</v>
      </c>
      <c r="E43" s="41"/>
      <c r="F43" s="41">
        <f>F18*F36*F$11</f>
        <v>764096.13056406798</v>
      </c>
    </row>
    <row r="44" spans="2:6" x14ac:dyDescent="0.3">
      <c r="B44" s="39" t="s">
        <v>129</v>
      </c>
      <c r="C44" s="39" t="s">
        <v>3</v>
      </c>
      <c r="D44" s="98">
        <f>D19*D37*D$11</f>
        <v>242096.69417829486</v>
      </c>
      <c r="E44" s="98"/>
      <c r="F44" s="98">
        <f>F19*F37*F$11</f>
        <v>135780.86314068496</v>
      </c>
    </row>
    <row r="45" spans="2:6" x14ac:dyDescent="0.3">
      <c r="B45" s="39" t="s">
        <v>130</v>
      </c>
      <c r="C45" s="39" t="s">
        <v>3</v>
      </c>
      <c r="D45" s="98">
        <f>D20*D38*D$11</f>
        <v>205086.68536472842</v>
      </c>
      <c r="E45" s="98"/>
      <c r="F45" s="98">
        <f>F20*F38*F$11</f>
        <v>125192.62084087146</v>
      </c>
    </row>
    <row r="46" spans="2:6" x14ac:dyDescent="0.3">
      <c r="B46" s="36" t="s">
        <v>105</v>
      </c>
      <c r="C46" s="36" t="s">
        <v>3</v>
      </c>
      <c r="D46" s="42">
        <f>D21*D39*D$11</f>
        <v>89731.066989754923</v>
      </c>
      <c r="E46" s="42"/>
      <c r="F46" s="42">
        <f>F21*F39*F$11</f>
        <v>74537.21627576949</v>
      </c>
    </row>
    <row r="47" spans="2:6" x14ac:dyDescent="0.3">
      <c r="B47" s="1" t="s">
        <v>121</v>
      </c>
      <c r="C47" s="1" t="s">
        <v>3</v>
      </c>
      <c r="D47" s="43">
        <f>D22*D40*D$11</f>
        <v>38475.843522700707</v>
      </c>
      <c r="E47" s="43"/>
      <c r="F47" s="43">
        <f>F22*F40*F$11</f>
        <v>38475.843522700707</v>
      </c>
    </row>
    <row r="48" spans="2:6" x14ac:dyDescent="0.3">
      <c r="B48" s="40" t="s">
        <v>131</v>
      </c>
      <c r="C48" s="40" t="s">
        <v>3</v>
      </c>
      <c r="D48" s="44">
        <f>SUM(D43:D47)</f>
        <v>1495771.6815748089</v>
      </c>
      <c r="E48" s="44"/>
      <c r="F48" s="44">
        <f>SUM(F43:F47)</f>
        <v>1138082.6743440947</v>
      </c>
    </row>
    <row r="50" spans="2:8" x14ac:dyDescent="0.3">
      <c r="B50" s="34" t="s">
        <v>150</v>
      </c>
      <c r="C50" s="47" t="s">
        <v>3</v>
      </c>
      <c r="D50" s="41">
        <f>D137*D70*D18</f>
        <v>1399372.8</v>
      </c>
      <c r="E50" s="41"/>
      <c r="F50" s="41">
        <f>F137*F70*F18</f>
        <v>1267144.7039999999</v>
      </c>
    </row>
    <row r="51" spans="2:8" x14ac:dyDescent="0.3">
      <c r="B51" s="39" t="s">
        <v>151</v>
      </c>
      <c r="C51" s="39" t="s">
        <v>3</v>
      </c>
      <c r="D51" s="42">
        <f>D50-D43</f>
        <v>478991.40848067007</v>
      </c>
      <c r="E51" s="42"/>
      <c r="F51" s="42">
        <f>F50-F43</f>
        <v>503048.57343593193</v>
      </c>
    </row>
    <row r="52" spans="2:8" x14ac:dyDescent="0.3">
      <c r="B52" s="48" t="s">
        <v>152</v>
      </c>
      <c r="C52" s="48" t="s">
        <v>1</v>
      </c>
      <c r="D52" s="49">
        <f>1+D51/D43</f>
        <v>1.5204270891330927</v>
      </c>
      <c r="E52" s="49"/>
      <c r="F52" s="49">
        <f>1+F51/F43</f>
        <v>1.6583577030609662</v>
      </c>
    </row>
    <row r="53" spans="2:8" x14ac:dyDescent="0.3">
      <c r="D53" s="2"/>
      <c r="E53" s="2"/>
      <c r="F53" s="2"/>
    </row>
    <row r="54" spans="2:8" x14ac:dyDescent="0.3">
      <c r="B54" s="62" t="s">
        <v>132</v>
      </c>
      <c r="C54" s="62"/>
      <c r="D54" s="99" t="s">
        <v>162</v>
      </c>
      <c r="E54" s="99"/>
      <c r="F54" s="99" t="s">
        <v>163</v>
      </c>
    </row>
    <row r="55" spans="2:8" x14ac:dyDescent="0.3">
      <c r="B55" s="100" t="s">
        <v>133</v>
      </c>
      <c r="C55" s="100"/>
      <c r="D55" s="101">
        <f>D28*D11*D18*0.135*20.6</f>
        <v>199731.42000000004</v>
      </c>
      <c r="E55" s="101"/>
      <c r="F55" s="101">
        <f>F28*F11*F18*0.135*20.6</f>
        <v>199731.42000000004</v>
      </c>
    </row>
    <row r="56" spans="2:8" x14ac:dyDescent="0.3">
      <c r="B56" s="36" t="s">
        <v>189</v>
      </c>
      <c r="C56" s="36" t="s">
        <v>0</v>
      </c>
      <c r="D56" s="113">
        <f>'Laitumen sadon arviointia'!D56</f>
        <v>80000</v>
      </c>
      <c r="E56" s="113"/>
      <c r="F56" s="113">
        <f>'Laitumen sadon arviointia'!F56</f>
        <v>80000</v>
      </c>
      <c r="G56" s="106"/>
      <c r="H56" s="107"/>
    </row>
    <row r="57" spans="2:8" x14ac:dyDescent="0.3">
      <c r="B57" s="36" t="s">
        <v>134</v>
      </c>
      <c r="C57" s="36" t="s">
        <v>1</v>
      </c>
      <c r="D57" s="114">
        <f>'Laitumen sadon arviointia'!D57</f>
        <v>0.4</v>
      </c>
      <c r="E57" s="114"/>
      <c r="F57" s="114">
        <f>'Laitumen sadon arviointia'!F57</f>
        <v>0.4</v>
      </c>
      <c r="G57" s="106"/>
      <c r="H57" s="107"/>
    </row>
    <row r="58" spans="2:8" x14ac:dyDescent="0.3">
      <c r="B58" s="36" t="s">
        <v>135</v>
      </c>
      <c r="C58" s="36" t="s">
        <v>191</v>
      </c>
      <c r="D58" s="87">
        <f>'Laitumen sadon arviointia'!D58</f>
        <v>640</v>
      </c>
      <c r="E58" s="87"/>
      <c r="F58" s="87">
        <f>'Laitumen sadon arviointia'!F58</f>
        <v>640</v>
      </c>
      <c r="G58" s="106"/>
      <c r="H58" s="107"/>
    </row>
    <row r="59" spans="2:8" x14ac:dyDescent="0.3">
      <c r="B59" s="102" t="s">
        <v>136</v>
      </c>
      <c r="C59" s="102" t="s">
        <v>3</v>
      </c>
      <c r="D59" s="103">
        <f>D69*0.016*D56*D57</f>
        <v>327680</v>
      </c>
      <c r="E59" s="103"/>
      <c r="F59" s="103">
        <f>F69*0.016*F56*F57</f>
        <v>327680</v>
      </c>
    </row>
    <row r="60" spans="2:8" x14ac:dyDescent="0.3">
      <c r="B60" s="36" t="s">
        <v>190</v>
      </c>
      <c r="C60" s="36" t="s">
        <v>0</v>
      </c>
      <c r="D60" s="113">
        <f>'Laitumen sadon arviointia'!D60</f>
        <v>1800</v>
      </c>
      <c r="E60" s="113"/>
      <c r="F60" s="113">
        <f>'Laitumen sadon arviointia'!F60</f>
        <v>1800</v>
      </c>
      <c r="G60" s="106"/>
      <c r="H60" s="107"/>
    </row>
    <row r="61" spans="2:8" x14ac:dyDescent="0.3">
      <c r="B61" s="36" t="s">
        <v>138</v>
      </c>
      <c r="C61" s="36" t="s">
        <v>1</v>
      </c>
      <c r="D61" s="114">
        <f>'Laitumen sadon arviointia'!D61</f>
        <v>0.86</v>
      </c>
      <c r="E61" s="114"/>
      <c r="F61" s="114">
        <f>'Laitumen sadon arviointia'!F61</f>
        <v>0.86</v>
      </c>
      <c r="G61" s="106"/>
      <c r="H61" s="107"/>
    </row>
    <row r="62" spans="2:8" x14ac:dyDescent="0.3">
      <c r="B62" s="36" t="s">
        <v>139</v>
      </c>
      <c r="C62" s="36" t="s">
        <v>44</v>
      </c>
      <c r="D62" s="87">
        <f>'Laitumen sadon arviointia'!D62</f>
        <v>12.5</v>
      </c>
      <c r="E62" s="87"/>
      <c r="F62" s="87">
        <f>'Laitumen sadon arviointia'!F62</f>
        <v>12.5</v>
      </c>
      <c r="G62" s="106"/>
      <c r="H62" s="107"/>
    </row>
    <row r="63" spans="2:8" x14ac:dyDescent="0.3">
      <c r="B63" s="1" t="s">
        <v>140</v>
      </c>
      <c r="C63" s="1" t="s">
        <v>3</v>
      </c>
      <c r="D63" s="43">
        <f>D60*D61*D62</f>
        <v>19350</v>
      </c>
      <c r="E63" s="43"/>
      <c r="F63" s="43">
        <f>F60*F61*F62</f>
        <v>19350</v>
      </c>
    </row>
    <row r="64" spans="2:8" x14ac:dyDescent="0.3">
      <c r="B64" s="56" t="s">
        <v>137</v>
      </c>
      <c r="C64" s="56" t="s">
        <v>3</v>
      </c>
      <c r="D64" s="57">
        <f>D55+D59+D63</f>
        <v>546761.42000000004</v>
      </c>
      <c r="E64" s="57"/>
      <c r="F64" s="57">
        <f>F55+F59+F63</f>
        <v>546761.42000000004</v>
      </c>
    </row>
    <row r="65" spans="2:8" x14ac:dyDescent="0.3">
      <c r="B65" s="33" t="s">
        <v>141</v>
      </c>
      <c r="C65" s="33" t="s">
        <v>3</v>
      </c>
      <c r="D65" s="58">
        <f>D48-D64</f>
        <v>949010.26157480886</v>
      </c>
      <c r="E65" s="58"/>
      <c r="F65" s="58">
        <f>F48-F64</f>
        <v>591321.25434409466</v>
      </c>
    </row>
    <row r="66" spans="2:8" x14ac:dyDescent="0.3">
      <c r="D66" s="5"/>
      <c r="E66" s="5"/>
      <c r="F66" s="5"/>
    </row>
    <row r="67" spans="2:8" x14ac:dyDescent="0.3">
      <c r="B67" s="62" t="s">
        <v>192</v>
      </c>
      <c r="C67" s="62"/>
      <c r="D67" s="99" t="s">
        <v>162</v>
      </c>
      <c r="E67" s="99"/>
      <c r="F67" s="99" t="s">
        <v>163</v>
      </c>
    </row>
    <row r="68" spans="2:8" x14ac:dyDescent="0.3">
      <c r="B68" t="s">
        <v>143</v>
      </c>
      <c r="C68" t="s">
        <v>144</v>
      </c>
      <c r="D68" s="115">
        <f>'Laitumen sadon arviointia'!D68</f>
        <v>40</v>
      </c>
      <c r="E68" s="115"/>
      <c r="F68" s="115">
        <f>'Laitumen sadon arviointia'!F68</f>
        <v>30</v>
      </c>
      <c r="G68" s="106"/>
      <c r="H68" s="107"/>
    </row>
    <row r="69" spans="2:8" x14ac:dyDescent="0.3">
      <c r="B69" s="85" t="s">
        <v>127</v>
      </c>
      <c r="C69" s="36" t="s">
        <v>191</v>
      </c>
      <c r="D69" s="116">
        <f>'Laitumen sadon arviointia'!D69</f>
        <v>640</v>
      </c>
      <c r="E69" s="116"/>
      <c r="F69" s="116">
        <f>'Laitumen sadon arviointia'!F69</f>
        <v>640</v>
      </c>
      <c r="G69" s="106"/>
      <c r="H69" s="107"/>
    </row>
    <row r="70" spans="2:8" x14ac:dyDescent="0.3">
      <c r="B70" s="19" t="s">
        <v>43</v>
      </c>
      <c r="C70" t="s">
        <v>44</v>
      </c>
      <c r="D70" s="51">
        <f>D69*0.016</f>
        <v>10.24</v>
      </c>
      <c r="E70" s="51"/>
      <c r="F70" s="51">
        <f t="shared" ref="F70" si="0">F69*0.016</f>
        <v>10.24</v>
      </c>
    </row>
    <row r="71" spans="2:8" x14ac:dyDescent="0.3">
      <c r="B71" t="s">
        <v>142</v>
      </c>
      <c r="C71" t="s">
        <v>0</v>
      </c>
      <c r="D71" s="45">
        <f>D65/D70</f>
        <v>92676.783356914922</v>
      </c>
      <c r="E71" s="45"/>
      <c r="F71" s="45">
        <f>F65/F70</f>
        <v>57746.21624454049</v>
      </c>
    </row>
    <row r="72" spans="2:8" x14ac:dyDescent="0.3">
      <c r="B72" s="53" t="s">
        <v>156</v>
      </c>
      <c r="C72" s="53" t="s">
        <v>145</v>
      </c>
      <c r="D72" s="54">
        <f>D71/D68</f>
        <v>2316.9195839228732</v>
      </c>
      <c r="E72" s="54"/>
      <c r="F72" s="54">
        <f>F71/F68</f>
        <v>1924.8738748180162</v>
      </c>
    </row>
    <row r="73" spans="2:8" x14ac:dyDescent="0.3">
      <c r="B73" s="53" t="s">
        <v>148</v>
      </c>
      <c r="C73" s="53" t="s">
        <v>145</v>
      </c>
      <c r="D73" s="54">
        <f>(D71+D140)/D68</f>
        <v>3486.3322022838838</v>
      </c>
      <c r="E73" s="54"/>
      <c r="F73" s="54">
        <f>(F71+F140)/F68</f>
        <v>3562.401783138107</v>
      </c>
      <c r="H73" t="s">
        <v>149</v>
      </c>
    </row>
    <row r="74" spans="2:8" x14ac:dyDescent="0.3">
      <c r="B74" t="s">
        <v>155</v>
      </c>
      <c r="C74" s="59" t="s">
        <v>145</v>
      </c>
      <c r="D74" s="45">
        <f>D73-D72</f>
        <v>1169.4126183610106</v>
      </c>
      <c r="E74" s="45"/>
      <c r="F74" s="45">
        <f>F73-F72</f>
        <v>1637.5279083200908</v>
      </c>
    </row>
    <row r="75" spans="2:8" x14ac:dyDescent="0.3">
      <c r="B75" t="s">
        <v>155</v>
      </c>
      <c r="C75" s="59" t="s">
        <v>1</v>
      </c>
      <c r="D75" s="46">
        <f>1+D74/D72</f>
        <v>1.50472732263803</v>
      </c>
      <c r="E75" s="46"/>
      <c r="F75" s="46">
        <f>1+F74/F72</f>
        <v>1.8507195872638191</v>
      </c>
    </row>
    <row r="76" spans="2:8" x14ac:dyDescent="0.3">
      <c r="B76" t="s">
        <v>157</v>
      </c>
      <c r="C76" s="59" t="s">
        <v>159</v>
      </c>
      <c r="D76" s="117">
        <f>'Laitumen sadon arviointia'!D76</f>
        <v>0.25</v>
      </c>
      <c r="E76" s="117"/>
      <c r="F76" s="117">
        <f>'Laitumen sadon arviointia'!F76</f>
        <v>0.25</v>
      </c>
      <c r="G76" s="106"/>
      <c r="H76" s="107"/>
    </row>
    <row r="77" spans="2:8" x14ac:dyDescent="0.3">
      <c r="B77" s="53" t="s">
        <v>158</v>
      </c>
      <c r="C77" s="53" t="s">
        <v>145</v>
      </c>
      <c r="D77" s="54">
        <f>D74*D76+D72</f>
        <v>2609.2727385131257</v>
      </c>
      <c r="E77" s="54"/>
      <c r="F77" s="54">
        <f>F74*F76+F72</f>
        <v>2334.2558518980391</v>
      </c>
    </row>
    <row r="78" spans="2:8" x14ac:dyDescent="0.3">
      <c r="C78" s="59"/>
      <c r="D78" s="46"/>
      <c r="E78" s="46"/>
      <c r="F78" s="46"/>
    </row>
    <row r="79" spans="2:8" x14ac:dyDescent="0.3">
      <c r="C79" s="59"/>
      <c r="D79" s="46"/>
      <c r="E79" s="46"/>
      <c r="F79" s="46"/>
    </row>
    <row r="80" spans="2:8" x14ac:dyDescent="0.3">
      <c r="C80" s="59"/>
      <c r="D80" s="46"/>
      <c r="E80" s="46"/>
      <c r="F80" s="46"/>
    </row>
    <row r="81" spans="2:6" x14ac:dyDescent="0.3">
      <c r="C81" s="59"/>
      <c r="D81" s="46"/>
      <c r="E81" s="46"/>
      <c r="F81" s="46"/>
    </row>
    <row r="82" spans="2:6" x14ac:dyDescent="0.3">
      <c r="C82" s="59"/>
      <c r="D82" s="46"/>
      <c r="E82" s="46"/>
      <c r="F82" s="46"/>
    </row>
    <row r="83" spans="2:6" x14ac:dyDescent="0.3">
      <c r="C83" s="59"/>
      <c r="D83" s="46"/>
      <c r="E83" s="46"/>
      <c r="F83" s="46"/>
    </row>
    <row r="84" spans="2:6" x14ac:dyDescent="0.3">
      <c r="C84" s="59"/>
      <c r="D84" s="46"/>
      <c r="E84" s="46"/>
      <c r="F84" s="46"/>
    </row>
    <row r="85" spans="2:6" x14ac:dyDescent="0.3">
      <c r="C85" s="59"/>
      <c r="D85" s="46"/>
      <c r="E85" s="46"/>
      <c r="F85" s="46"/>
    </row>
    <row r="86" spans="2:6" x14ac:dyDescent="0.3">
      <c r="C86" s="59"/>
      <c r="D86" s="46"/>
      <c r="E86" s="46"/>
      <c r="F86" s="46"/>
    </row>
    <row r="87" spans="2:6" x14ac:dyDescent="0.3">
      <c r="C87" s="59"/>
      <c r="D87" s="46"/>
      <c r="E87" s="46"/>
      <c r="F87" s="46"/>
    </row>
    <row r="88" spans="2:6" x14ac:dyDescent="0.3">
      <c r="C88" s="59"/>
      <c r="D88" s="46"/>
      <c r="E88" s="46"/>
      <c r="F88" s="46"/>
    </row>
    <row r="89" spans="2:6" x14ac:dyDescent="0.3">
      <c r="C89" s="59"/>
      <c r="D89" s="46"/>
      <c r="E89" s="46"/>
      <c r="F89" s="46"/>
    </row>
    <row r="90" spans="2:6" x14ac:dyDescent="0.3">
      <c r="C90" s="59"/>
      <c r="D90" s="46"/>
      <c r="E90" s="46"/>
      <c r="F90" s="46"/>
    </row>
    <row r="91" spans="2:6" x14ac:dyDescent="0.3">
      <c r="C91" s="59"/>
      <c r="D91" s="46"/>
      <c r="E91" s="46"/>
      <c r="F91" s="46"/>
    </row>
    <row r="92" spans="2:6" x14ac:dyDescent="0.3">
      <c r="D92" s="5"/>
      <c r="E92" s="5"/>
      <c r="F92" s="5"/>
    </row>
    <row r="93" spans="2:6" x14ac:dyDescent="0.3">
      <c r="D93" s="5"/>
      <c r="E93" s="5"/>
      <c r="F93" s="5"/>
    </row>
    <row r="94" spans="2:6" x14ac:dyDescent="0.3">
      <c r="D94" s="5"/>
      <c r="E94" s="5"/>
      <c r="F94" s="5"/>
    </row>
    <row r="95" spans="2:6" x14ac:dyDescent="0.3">
      <c r="D95" s="5"/>
      <c r="E95" s="5"/>
      <c r="F95" s="5"/>
    </row>
    <row r="96" spans="2:6" x14ac:dyDescent="0.3">
      <c r="B96" s="62" t="s">
        <v>175</v>
      </c>
      <c r="C96" s="62"/>
      <c r="D96" s="99" t="s">
        <v>162</v>
      </c>
      <c r="E96" s="99"/>
      <c r="F96" s="99" t="s">
        <v>163</v>
      </c>
    </row>
    <row r="97" spans="2:6" x14ac:dyDescent="0.3">
      <c r="B97" t="s">
        <v>168</v>
      </c>
      <c r="C97" s="36" t="s">
        <v>2</v>
      </c>
      <c r="D97" s="65">
        <f>D9-D12</f>
        <v>57</v>
      </c>
      <c r="E97" s="55"/>
      <c r="F97" s="65">
        <f>IF((F9-F12)*-1&gt;F11,F11*-1,F9-F12)</f>
        <v>-92</v>
      </c>
    </row>
    <row r="98" spans="2:6" x14ac:dyDescent="0.3">
      <c r="B98" t="s">
        <v>170</v>
      </c>
      <c r="C98" s="36" t="s">
        <v>2</v>
      </c>
      <c r="D98" s="64">
        <f>D10-D12</f>
        <v>190</v>
      </c>
      <c r="E98" s="55"/>
      <c r="F98" s="64">
        <f>F10-F12</f>
        <v>41</v>
      </c>
    </row>
    <row r="99" spans="2:6" x14ac:dyDescent="0.3">
      <c r="B99" s="36" t="s">
        <v>47</v>
      </c>
      <c r="C99" s="36" t="s">
        <v>2</v>
      </c>
      <c r="D99" s="84">
        <f>D11-D100-D101</f>
        <v>133</v>
      </c>
      <c r="E99" s="85"/>
      <c r="F99" s="84">
        <f>F11+F97</f>
        <v>41</v>
      </c>
    </row>
    <row r="100" spans="2:6" x14ac:dyDescent="0.3">
      <c r="B100" s="36" t="s">
        <v>167</v>
      </c>
      <c r="C100" s="36" t="s">
        <v>2</v>
      </c>
      <c r="D100" s="84">
        <f>IF(D97&lt;-30,30,IF(D97&lt;0,D97*-1,0))</f>
        <v>0</v>
      </c>
      <c r="E100" s="85"/>
      <c r="F100" s="84">
        <f>IF(F97&lt;-30,30,IF(F97&lt;0,F97*-1,0))</f>
        <v>30</v>
      </c>
    </row>
    <row r="101" spans="2:6" x14ac:dyDescent="0.3">
      <c r="B101" s="36" t="s">
        <v>166</v>
      </c>
      <c r="C101" s="36" t="s">
        <v>2</v>
      </c>
      <c r="D101" s="84">
        <f>IF(D97&gt;-30,0,(D97+30)*-1)</f>
        <v>0</v>
      </c>
      <c r="E101" s="85"/>
      <c r="F101" s="84">
        <f>IF(F97&gt;-30,0,(F97+30)*-1)</f>
        <v>62</v>
      </c>
    </row>
    <row r="102" spans="2:6" x14ac:dyDescent="0.3">
      <c r="B102" s="39" t="s">
        <v>174</v>
      </c>
      <c r="C102" s="36" t="s">
        <v>2</v>
      </c>
      <c r="D102" s="55">
        <f>SUM(D99:D101)</f>
        <v>133</v>
      </c>
      <c r="E102" s="55"/>
      <c r="F102" s="55">
        <f>SUM(F99:F101)</f>
        <v>133</v>
      </c>
    </row>
    <row r="103" spans="2:6" x14ac:dyDescent="0.3">
      <c r="B103" s="39" t="s">
        <v>172</v>
      </c>
      <c r="C103" s="36" t="s">
        <v>39</v>
      </c>
      <c r="D103" s="66">
        <f>IF(D9&lt;D12,D12,D9)</f>
        <v>44348</v>
      </c>
      <c r="E103" s="55"/>
      <c r="F103" s="66">
        <f>IF(F9&lt;F12,F12,F9)</f>
        <v>44440</v>
      </c>
    </row>
    <row r="104" spans="2:6" x14ac:dyDescent="0.3">
      <c r="B104" s="39" t="s">
        <v>173</v>
      </c>
      <c r="C104" s="36" t="s">
        <v>39</v>
      </c>
      <c r="D104" s="66">
        <f>IF(D10&lt;D13,D10,D13)</f>
        <v>44481</v>
      </c>
      <c r="E104" s="55"/>
      <c r="F104" s="66">
        <f>IF(F10&lt;F13,F10,F13)</f>
        <v>44481</v>
      </c>
    </row>
    <row r="105" spans="2:6" x14ac:dyDescent="0.3">
      <c r="B105" s="39" t="s">
        <v>176</v>
      </c>
      <c r="C105" s="39" t="s">
        <v>2</v>
      </c>
      <c r="D105" s="55">
        <f>D104-D103</f>
        <v>133</v>
      </c>
      <c r="E105" s="55"/>
      <c r="F105" s="55">
        <f>IF(F104&lt;F103,0,F104-F103)</f>
        <v>41</v>
      </c>
    </row>
    <row r="106" spans="2:6" x14ac:dyDescent="0.3">
      <c r="D106" s="5"/>
      <c r="E106" s="5"/>
      <c r="F106" s="5"/>
    </row>
    <row r="107" spans="2:6" x14ac:dyDescent="0.3">
      <c r="D107" s="5"/>
      <c r="E107" s="5"/>
      <c r="F107" s="5"/>
    </row>
    <row r="108" spans="2:6" x14ac:dyDescent="0.3">
      <c r="B108" s="62" t="s">
        <v>177</v>
      </c>
      <c r="C108" s="62"/>
      <c r="D108" s="99" t="s">
        <v>162</v>
      </c>
      <c r="E108" s="99"/>
      <c r="F108" s="99" t="s">
        <v>163</v>
      </c>
    </row>
    <row r="109" spans="2:6" x14ac:dyDescent="0.3">
      <c r="B109" s="92" t="s">
        <v>181</v>
      </c>
      <c r="C109" s="34"/>
      <c r="D109" s="68">
        <f>D99</f>
        <v>133</v>
      </c>
      <c r="E109" s="68"/>
      <c r="F109" s="68">
        <f>F99</f>
        <v>41</v>
      </c>
    </row>
    <row r="110" spans="2:6" x14ac:dyDescent="0.3">
      <c r="B110" s="93" t="s">
        <v>182</v>
      </c>
      <c r="C110" s="36"/>
      <c r="D110" s="67">
        <f>D109*D28/D11</f>
        <v>9</v>
      </c>
      <c r="E110" s="67"/>
      <c r="F110" s="67">
        <f>F109*F28/F11</f>
        <v>2.774436090225564</v>
      </c>
    </row>
    <row r="111" spans="2:6" x14ac:dyDescent="0.3">
      <c r="B111" s="36" t="s">
        <v>40</v>
      </c>
      <c r="C111" s="36" t="s">
        <v>1</v>
      </c>
      <c r="D111" s="36">
        <v>3.1</v>
      </c>
      <c r="E111" s="36"/>
      <c r="F111" s="36">
        <v>3.1</v>
      </c>
    </row>
    <row r="112" spans="2:6" x14ac:dyDescent="0.3">
      <c r="B112" s="36" t="s">
        <v>41</v>
      </c>
      <c r="C112" s="36" t="s">
        <v>1</v>
      </c>
      <c r="D112" s="36">
        <v>4.2</v>
      </c>
      <c r="E112" s="36"/>
      <c r="F112" s="36">
        <v>4.2</v>
      </c>
    </row>
    <row r="113" spans="2:13" x14ac:dyDescent="0.3">
      <c r="B113" s="36" t="s">
        <v>178</v>
      </c>
      <c r="C113" s="36"/>
      <c r="D113" s="36">
        <v>0</v>
      </c>
      <c r="E113" s="36"/>
      <c r="F113" s="36">
        <f>IF(F101&lt;60,0,IF(F101&lt;90,F101-60,30))</f>
        <v>2</v>
      </c>
    </row>
    <row r="114" spans="2:13" x14ac:dyDescent="0.3">
      <c r="B114" s="36" t="s">
        <v>179</v>
      </c>
      <c r="C114" s="36"/>
      <c r="D114" s="36">
        <v>0</v>
      </c>
      <c r="E114" s="36"/>
      <c r="F114" s="36">
        <f>IF(F101&gt;30,30,F101)</f>
        <v>30</v>
      </c>
    </row>
    <row r="115" spans="2:13" x14ac:dyDescent="0.3">
      <c r="B115" s="36" t="s">
        <v>180</v>
      </c>
      <c r="C115" s="36"/>
      <c r="D115" s="36">
        <f>D100</f>
        <v>0</v>
      </c>
      <c r="E115" s="36"/>
      <c r="F115" s="36">
        <f>F100</f>
        <v>30</v>
      </c>
    </row>
    <row r="116" spans="2:13" x14ac:dyDescent="0.3">
      <c r="B116" s="36" t="s">
        <v>6</v>
      </c>
      <c r="C116" s="36" t="s">
        <v>4</v>
      </c>
      <c r="D116" s="69">
        <f>D110*(383*D112+242*D111+783.2)/3140</f>
        <v>9.0057324840764323</v>
      </c>
      <c r="E116" s="69"/>
      <c r="F116" s="69">
        <f>F110*(383*F112+242*F111+783.2)/3140</f>
        <v>2.7762032469709306</v>
      </c>
    </row>
    <row r="117" spans="2:13" x14ac:dyDescent="0.3">
      <c r="B117" s="36" t="s">
        <v>7</v>
      </c>
      <c r="C117" s="36" t="s">
        <v>3</v>
      </c>
      <c r="D117" s="70">
        <f>POWER(D27,0.75)*0.515</f>
        <v>68.956491681859745</v>
      </c>
      <c r="E117" s="70"/>
      <c r="F117" s="70">
        <f>POWER(F27,0.75)*0.515</f>
        <v>69.333647333747322</v>
      </c>
    </row>
    <row r="118" spans="2:13" x14ac:dyDescent="0.3">
      <c r="B118" s="36" t="s">
        <v>8</v>
      </c>
      <c r="C118" s="36" t="s">
        <v>3</v>
      </c>
      <c r="D118" s="70">
        <f>(5.15*D116)</f>
        <v>46.379522292993627</v>
      </c>
      <c r="E118" s="70"/>
      <c r="F118" s="70">
        <f>(5.15*F116)</f>
        <v>14.297446721900293</v>
      </c>
    </row>
    <row r="119" spans="2:13" x14ac:dyDescent="0.3">
      <c r="B119" s="36" t="s">
        <v>9</v>
      </c>
      <c r="C119" s="36" t="s">
        <v>3</v>
      </c>
      <c r="D119" s="70">
        <f>(D113*11+D114*19+D115*34)/D11</f>
        <v>0</v>
      </c>
      <c r="E119" s="70"/>
      <c r="F119" s="70">
        <f>(F113*11+F114*19+F115*34)/F11</f>
        <v>12.1203007518797</v>
      </c>
    </row>
    <row r="120" spans="2:13" x14ac:dyDescent="0.3">
      <c r="B120" s="36" t="s">
        <v>16</v>
      </c>
      <c r="C120" s="36" t="s">
        <v>3</v>
      </c>
      <c r="D120" s="70">
        <f>SUM(D117:D119)</f>
        <v>115.33601397485337</v>
      </c>
      <c r="E120" s="70"/>
      <c r="F120" s="70">
        <f t="shared" ref="F120" si="1">SUM(F117:F119)</f>
        <v>95.751394807527319</v>
      </c>
    </row>
    <row r="121" spans="2:13" x14ac:dyDescent="0.3">
      <c r="B121" s="36" t="s">
        <v>42</v>
      </c>
      <c r="C121" s="36" t="s">
        <v>3</v>
      </c>
      <c r="D121" s="70">
        <f>D120*D11</f>
        <v>15339.689858655498</v>
      </c>
      <c r="E121" s="70"/>
      <c r="F121" s="70">
        <f>F120*F11</f>
        <v>12734.935509401133</v>
      </c>
    </row>
    <row r="122" spans="2:13" x14ac:dyDescent="0.3">
      <c r="B122" s="1" t="s">
        <v>45</v>
      </c>
      <c r="C122" s="1" t="s">
        <v>46</v>
      </c>
      <c r="D122" s="71">
        <f>D121/D70</f>
        <v>1498.0165877593261</v>
      </c>
      <c r="E122" s="71"/>
      <c r="F122" s="71">
        <f>F121/F70</f>
        <v>1243.6460458399545</v>
      </c>
    </row>
    <row r="124" spans="2:13" x14ac:dyDescent="0.3">
      <c r="K124" t="s">
        <v>24</v>
      </c>
    </row>
    <row r="125" spans="2:13" x14ac:dyDescent="0.3">
      <c r="B125" s="62" t="s">
        <v>183</v>
      </c>
      <c r="C125" s="62"/>
      <c r="D125" s="99" t="s">
        <v>162</v>
      </c>
      <c r="E125" s="99"/>
      <c r="F125" s="99" t="s">
        <v>163</v>
      </c>
      <c r="J125" s="1" t="s">
        <v>17</v>
      </c>
      <c r="K125" s="1" t="s">
        <v>21</v>
      </c>
      <c r="L125" s="1" t="s">
        <v>22</v>
      </c>
      <c r="M125" s="1" t="s">
        <v>23</v>
      </c>
    </row>
    <row r="126" spans="2:13" x14ac:dyDescent="0.3">
      <c r="B126" s="34" t="s">
        <v>25</v>
      </c>
      <c r="C126" s="34" t="s">
        <v>30</v>
      </c>
      <c r="D126" s="72">
        <f>VLOOKUP(D69,Taustalaskenta!$I$126:$L$128,4,1)</f>
        <v>2.5000000000000001E-2</v>
      </c>
      <c r="E126" s="72"/>
      <c r="F126" s="72">
        <f>VLOOKUP(F69,Taustalaskenta!$I$126:$L$128,4,1)</f>
        <v>2.5000000000000001E-2</v>
      </c>
      <c r="I126">
        <v>1</v>
      </c>
      <c r="J126" t="s">
        <v>18</v>
      </c>
      <c r="K126" s="3">
        <v>1.7999999999999999E-2</v>
      </c>
      <c r="L126" s="3">
        <v>2.1999999999999999E-2</v>
      </c>
      <c r="M126" s="3">
        <v>1.2E-2</v>
      </c>
    </row>
    <row r="127" spans="2:13" x14ac:dyDescent="0.3">
      <c r="B127" s="36" t="s">
        <v>26</v>
      </c>
      <c r="C127" s="36" t="s">
        <v>30</v>
      </c>
      <c r="D127" s="73">
        <f>VLOOKUP(D69,Taustalaskenta!$I$126:$K$128,3,1)</f>
        <v>2.1999999999999999E-2</v>
      </c>
      <c r="E127" s="73"/>
      <c r="F127" s="73">
        <f>VLOOKUP(F69,Taustalaskenta!$I$126:$K$128,3,1)</f>
        <v>2.1999999999999999E-2</v>
      </c>
      <c r="I127">
        <v>600</v>
      </c>
      <c r="J127" t="s">
        <v>19</v>
      </c>
      <c r="K127" s="3">
        <v>2.1999999999999999E-2</v>
      </c>
      <c r="L127" s="3">
        <v>2.5000000000000001E-2</v>
      </c>
      <c r="M127" s="3">
        <v>0.02</v>
      </c>
    </row>
    <row r="128" spans="2:13" x14ac:dyDescent="0.3">
      <c r="B128" s="36" t="s">
        <v>27</v>
      </c>
      <c r="C128" s="36" t="s">
        <v>30</v>
      </c>
      <c r="D128" s="73">
        <f>VLOOKUP(D69,Taustalaskenta!$I$126:$M$128,5,1)</f>
        <v>0.02</v>
      </c>
      <c r="E128" s="73"/>
      <c r="F128" s="73">
        <f>VLOOKUP(F69,Taustalaskenta!$I$126:$M$128,5,1)</f>
        <v>0.02</v>
      </c>
      <c r="G128" s="73"/>
      <c r="I128">
        <v>670</v>
      </c>
      <c r="J128" t="s">
        <v>20</v>
      </c>
      <c r="K128" s="3">
        <v>2.5000000000000001E-2</v>
      </c>
      <c r="L128" s="3">
        <v>2.7E-2</v>
      </c>
      <c r="M128" s="3">
        <v>2.3E-2</v>
      </c>
    </row>
    <row r="129" spans="2:6" x14ac:dyDescent="0.3">
      <c r="B129" s="36"/>
      <c r="C129" s="36"/>
      <c r="D129" s="36"/>
      <c r="E129" s="36"/>
      <c r="F129" s="36"/>
    </row>
    <row r="130" spans="2:6" x14ac:dyDescent="0.3">
      <c r="B130" s="36" t="s">
        <v>25</v>
      </c>
      <c r="C130" s="36" t="s">
        <v>28</v>
      </c>
      <c r="D130" s="74">
        <f>IF(K5=2,D27*D126-1.7,D27*D126)</f>
        <v>17.125</v>
      </c>
      <c r="E130" s="74"/>
      <c r="F130" s="74">
        <f>IF(L5=2,F27*F126-1.7,F27*F126)</f>
        <v>17.25</v>
      </c>
    </row>
    <row r="131" spans="2:6" x14ac:dyDescent="0.3">
      <c r="B131" s="36" t="s">
        <v>26</v>
      </c>
      <c r="C131" s="36" t="s">
        <v>28</v>
      </c>
      <c r="D131" s="74">
        <f>IF(K5=2,D27*D127-2,D27*D127)</f>
        <v>15.069999999999999</v>
      </c>
      <c r="E131" s="74"/>
      <c r="F131" s="74">
        <f>IF(L5=2,F27*F127-2,F27*F127)</f>
        <v>15.18</v>
      </c>
    </row>
    <row r="132" spans="2:6" x14ac:dyDescent="0.3">
      <c r="B132" s="36" t="s">
        <v>27</v>
      </c>
      <c r="C132" s="36" t="s">
        <v>28</v>
      </c>
      <c r="D132" s="74">
        <f>D27*D128</f>
        <v>13.700000000000001</v>
      </c>
      <c r="E132" s="74"/>
      <c r="F132" s="74">
        <f>F27*F128</f>
        <v>13.8</v>
      </c>
    </row>
    <row r="133" spans="2:6" x14ac:dyDescent="0.3">
      <c r="B133" s="36"/>
      <c r="C133" s="36"/>
      <c r="D133" s="36"/>
      <c r="E133" s="36"/>
      <c r="F133" s="36"/>
    </row>
    <row r="134" spans="2:6" x14ac:dyDescent="0.3">
      <c r="B134" s="36" t="s">
        <v>25</v>
      </c>
      <c r="C134" s="36" t="s">
        <v>29</v>
      </c>
      <c r="D134" s="70">
        <f>D130*D99</f>
        <v>2277.625</v>
      </c>
      <c r="E134" s="70"/>
      <c r="F134" s="70">
        <f>F130*F99</f>
        <v>707.25</v>
      </c>
    </row>
    <row r="135" spans="2:6" x14ac:dyDescent="0.3">
      <c r="B135" s="36" t="s">
        <v>26</v>
      </c>
      <c r="C135" s="36" t="s">
        <v>29</v>
      </c>
      <c r="D135" s="70">
        <f>D131*D101</f>
        <v>0</v>
      </c>
      <c r="E135" s="70"/>
      <c r="F135" s="70">
        <f>F131*F101</f>
        <v>941.16</v>
      </c>
    </row>
    <row r="136" spans="2:6" x14ac:dyDescent="0.3">
      <c r="B136" s="36" t="s">
        <v>27</v>
      </c>
      <c r="C136" s="36" t="s">
        <v>29</v>
      </c>
      <c r="D136" s="70">
        <f>D132*D100</f>
        <v>0</v>
      </c>
      <c r="E136" s="70"/>
      <c r="F136" s="70">
        <f>F132*F100</f>
        <v>414</v>
      </c>
    </row>
    <row r="137" spans="2:6" x14ac:dyDescent="0.3">
      <c r="B137" s="36" t="s">
        <v>184</v>
      </c>
      <c r="C137" s="36" t="s">
        <v>29</v>
      </c>
      <c r="D137" s="70">
        <f>SUM(D134:D136)</f>
        <v>2277.625</v>
      </c>
      <c r="E137" s="70"/>
      <c r="F137" s="70">
        <f>SUM(F134:F136)</f>
        <v>2062.41</v>
      </c>
    </row>
    <row r="138" spans="2:6" x14ac:dyDescent="0.3">
      <c r="B138" s="36"/>
      <c r="C138" s="36"/>
      <c r="D138" s="70"/>
      <c r="E138" s="70"/>
      <c r="F138" s="70"/>
    </row>
    <row r="139" spans="2:6" x14ac:dyDescent="0.3">
      <c r="B139" s="75" t="s">
        <v>146</v>
      </c>
      <c r="C139" s="75" t="s">
        <v>147</v>
      </c>
      <c r="D139" s="76">
        <f>D137-D122</f>
        <v>779.60841224067394</v>
      </c>
      <c r="E139" s="76"/>
      <c r="F139" s="76">
        <f>F137-F122</f>
        <v>818.76395416004539</v>
      </c>
    </row>
    <row r="140" spans="2:6" x14ac:dyDescent="0.3">
      <c r="B140" s="77" t="s">
        <v>146</v>
      </c>
      <c r="C140" s="77" t="s">
        <v>29</v>
      </c>
      <c r="D140" s="78">
        <f>D139*D18</f>
        <v>46776.504734440437</v>
      </c>
      <c r="E140" s="78"/>
      <c r="F140" s="78">
        <f>F139*F18</f>
        <v>49125.837249602722</v>
      </c>
    </row>
    <row r="143" spans="2:6" x14ac:dyDescent="0.3">
      <c r="B143" s="60" t="s">
        <v>185</v>
      </c>
      <c r="C143" s="60"/>
      <c r="D143" s="60"/>
      <c r="E143" s="60"/>
      <c r="F143" s="60"/>
    </row>
    <row r="144" spans="2:6" x14ac:dyDescent="0.3">
      <c r="B144" t="s">
        <v>84</v>
      </c>
    </row>
    <row r="145" spans="2:7" x14ac:dyDescent="0.3">
      <c r="B145" t="s">
        <v>124</v>
      </c>
      <c r="D145" s="22" t="str">
        <f>CONCATENATE(K5,"+",K6)</f>
        <v>3+2</v>
      </c>
      <c r="E145" s="22"/>
      <c r="F145" s="22" t="str">
        <f>CONCATENATE(L5,"+",L6)</f>
        <v>3+2</v>
      </c>
    </row>
    <row r="146" spans="2:7" x14ac:dyDescent="0.3">
      <c r="B146" s="7" t="s">
        <v>125</v>
      </c>
      <c r="D146" s="8">
        <f>VLOOKUP(D145,C150:F158,2,0)</f>
        <v>0.77500000000000002</v>
      </c>
      <c r="E146" s="8"/>
      <c r="F146" s="8">
        <f>VLOOKUP(F145,C150:F158,2,0)</f>
        <v>0.77500000000000002</v>
      </c>
    </row>
    <row r="147" spans="2:7" x14ac:dyDescent="0.3">
      <c r="B147" s="7" t="s">
        <v>126</v>
      </c>
      <c r="D147" s="8">
        <f>VLOOKUP(D145,C150:F158,4,0)</f>
        <v>1.075</v>
      </c>
      <c r="E147" s="8"/>
      <c r="F147" s="8">
        <f>VLOOKUP(F145,C150:F158,4,0)</f>
        <v>1.075</v>
      </c>
      <c r="G147" s="8"/>
    </row>
    <row r="148" spans="2:7" x14ac:dyDescent="0.3">
      <c r="B148" s="7"/>
      <c r="C148" s="7"/>
      <c r="D148" s="7"/>
      <c r="E148" s="7"/>
      <c r="F148" s="8"/>
      <c r="G148" s="8"/>
    </row>
    <row r="149" spans="2:7" x14ac:dyDescent="0.3">
      <c r="B149" s="7" t="s">
        <v>63</v>
      </c>
      <c r="C149" s="7"/>
      <c r="D149" s="8" t="s">
        <v>64</v>
      </c>
      <c r="E149" s="8"/>
      <c r="F149" s="8" t="s">
        <v>65</v>
      </c>
      <c r="G149" s="7"/>
    </row>
    <row r="150" spans="2:7" x14ac:dyDescent="0.3">
      <c r="B150" s="7" t="s">
        <v>66</v>
      </c>
      <c r="C150" s="7" t="s">
        <v>67</v>
      </c>
      <c r="D150" s="8">
        <v>0.7</v>
      </c>
      <c r="E150" s="8"/>
      <c r="F150" s="8">
        <v>1</v>
      </c>
      <c r="G150" s="7"/>
    </row>
    <row r="151" spans="2:7" x14ac:dyDescent="0.3">
      <c r="B151" s="7" t="s">
        <v>68</v>
      </c>
      <c r="C151" s="7" t="s">
        <v>69</v>
      </c>
      <c r="D151" s="8">
        <v>0.7</v>
      </c>
      <c r="E151" s="8"/>
      <c r="F151" s="8">
        <v>1</v>
      </c>
      <c r="G151" s="7"/>
    </row>
    <row r="152" spans="2:7" x14ac:dyDescent="0.3">
      <c r="B152" s="7" t="s">
        <v>70</v>
      </c>
      <c r="C152" s="7" t="s">
        <v>71</v>
      </c>
      <c r="D152" s="8">
        <v>0.77500000000000002</v>
      </c>
      <c r="E152" s="8"/>
      <c r="F152" s="8">
        <v>1.075</v>
      </c>
      <c r="G152" s="7"/>
    </row>
    <row r="153" spans="2:7" x14ac:dyDescent="0.3">
      <c r="B153" s="7" t="s">
        <v>72</v>
      </c>
      <c r="C153" s="7" t="s">
        <v>73</v>
      </c>
      <c r="D153" s="8">
        <v>0.7</v>
      </c>
      <c r="E153" s="8"/>
      <c r="F153" s="8">
        <v>1</v>
      </c>
      <c r="G153" s="7"/>
    </row>
    <row r="154" spans="2:7" x14ac:dyDescent="0.3">
      <c r="B154" s="7" t="s">
        <v>74</v>
      </c>
      <c r="C154" s="7" t="s">
        <v>75</v>
      </c>
      <c r="D154" s="8">
        <v>0.7</v>
      </c>
      <c r="E154" s="8"/>
      <c r="F154" s="8">
        <v>1</v>
      </c>
      <c r="G154" s="7"/>
    </row>
    <row r="155" spans="2:7" x14ac:dyDescent="0.3">
      <c r="B155" s="7" t="s">
        <v>76</v>
      </c>
      <c r="C155" s="7" t="s">
        <v>77</v>
      </c>
      <c r="D155" s="8">
        <v>0.77500000000000002</v>
      </c>
      <c r="E155" s="8"/>
      <c r="F155" s="8">
        <v>1.075</v>
      </c>
      <c r="G155" s="7"/>
    </row>
    <row r="156" spans="2:7" x14ac:dyDescent="0.3">
      <c r="B156" s="7" t="s">
        <v>78</v>
      </c>
      <c r="C156" s="7" t="s">
        <v>79</v>
      </c>
      <c r="D156" s="8">
        <v>0.77500000000000002</v>
      </c>
      <c r="E156" s="8"/>
      <c r="F156" s="8">
        <v>1.075</v>
      </c>
      <c r="G156" s="7"/>
    </row>
    <row r="157" spans="2:7" x14ac:dyDescent="0.3">
      <c r="B157" s="7" t="s">
        <v>80</v>
      </c>
      <c r="C157" s="7" t="s">
        <v>81</v>
      </c>
      <c r="D157" s="8">
        <v>0.77500000000000002</v>
      </c>
      <c r="E157" s="8"/>
      <c r="F157" s="8">
        <v>1.075</v>
      </c>
      <c r="G157" s="7"/>
    </row>
    <row r="158" spans="2:7" x14ac:dyDescent="0.3">
      <c r="B158" s="7" t="s">
        <v>82</v>
      </c>
      <c r="C158" s="7" t="s">
        <v>83</v>
      </c>
      <c r="D158" s="8">
        <v>0.85</v>
      </c>
      <c r="E158" s="8"/>
      <c r="F158" s="8">
        <v>1.1499999999999999</v>
      </c>
      <c r="G158" s="7"/>
    </row>
    <row r="160" spans="2:7" x14ac:dyDescent="0.3">
      <c r="B160" s="20" t="s">
        <v>99</v>
      </c>
      <c r="C160" s="20"/>
      <c r="D160" s="20"/>
      <c r="E160" s="20"/>
      <c r="F160" s="20"/>
    </row>
    <row r="161" spans="2:7" x14ac:dyDescent="0.3">
      <c r="B161" s="7" t="s">
        <v>60</v>
      </c>
      <c r="C161" s="20"/>
      <c r="D161" s="20">
        <v>1100</v>
      </c>
      <c r="E161" s="20"/>
      <c r="F161" s="20"/>
    </row>
    <row r="162" spans="2:7" x14ac:dyDescent="0.3">
      <c r="B162" s="7" t="s">
        <v>61</v>
      </c>
      <c r="C162" s="20"/>
      <c r="D162" s="20">
        <v>1000</v>
      </c>
      <c r="E162" s="20"/>
      <c r="F162" s="20"/>
    </row>
    <row r="163" spans="2:7" x14ac:dyDescent="0.3">
      <c r="B163" s="7" t="s">
        <v>62</v>
      </c>
      <c r="C163" s="20"/>
      <c r="D163" s="20">
        <v>950</v>
      </c>
      <c r="E163" s="20"/>
      <c r="F163" s="20"/>
    </row>
    <row r="164" spans="2:7" x14ac:dyDescent="0.3">
      <c r="B164" s="7"/>
      <c r="C164" s="20"/>
      <c r="D164" s="20"/>
      <c r="E164" s="20"/>
      <c r="F164" s="20"/>
      <c r="G164" s="97"/>
    </row>
    <row r="165" spans="2:7" x14ac:dyDescent="0.3">
      <c r="B165" s="20" t="s">
        <v>96</v>
      </c>
      <c r="C165" s="20"/>
      <c r="D165" s="20" t="s">
        <v>97</v>
      </c>
      <c r="E165" s="20"/>
      <c r="F165" s="20" t="s">
        <v>98</v>
      </c>
      <c r="G165" s="97"/>
    </row>
    <row r="166" spans="2:7" x14ac:dyDescent="0.3">
      <c r="B166" s="7" t="s">
        <v>60</v>
      </c>
      <c r="C166" s="20"/>
      <c r="D166" s="20">
        <v>47</v>
      </c>
      <c r="E166" s="20"/>
      <c r="F166" s="20">
        <v>44</v>
      </c>
      <c r="G166" s="97"/>
    </row>
    <row r="167" spans="2:7" x14ac:dyDescent="0.3">
      <c r="B167" s="7" t="s">
        <v>61</v>
      </c>
      <c r="C167" s="20"/>
      <c r="D167" s="20">
        <v>44</v>
      </c>
      <c r="E167" s="20"/>
      <c r="F167" s="20">
        <v>41</v>
      </c>
      <c r="G167" s="97"/>
    </row>
    <row r="168" spans="2:7" x14ac:dyDescent="0.3">
      <c r="B168" s="7" t="s">
        <v>62</v>
      </c>
      <c r="C168" s="20"/>
      <c r="D168" s="20">
        <v>41</v>
      </c>
      <c r="E168" s="20"/>
      <c r="F168" s="20">
        <v>38</v>
      </c>
      <c r="G168" s="97"/>
    </row>
    <row r="169" spans="2:7" x14ac:dyDescent="0.3">
      <c r="B169" s="18"/>
      <c r="C169" s="17"/>
      <c r="E169" s="17"/>
      <c r="F169" s="17"/>
      <c r="G169" s="97"/>
    </row>
    <row r="170" spans="2:7" x14ac:dyDescent="0.3">
      <c r="B170" s="60" t="s">
        <v>186</v>
      </c>
      <c r="C170" s="60"/>
      <c r="D170" s="99" t="s">
        <v>162</v>
      </c>
      <c r="E170" s="99"/>
      <c r="F170" s="99" t="s">
        <v>163</v>
      </c>
    </row>
    <row r="171" spans="2:7" x14ac:dyDescent="0.3">
      <c r="B171" s="7" t="s">
        <v>100</v>
      </c>
      <c r="C171" s="10" t="s">
        <v>85</v>
      </c>
      <c r="D171" s="91">
        <f>D103-D12+(D105/2)</f>
        <v>123.5</v>
      </c>
      <c r="E171" s="21"/>
      <c r="F171" s="21">
        <f>IF(F98&lt;0,0,F98-(F105/2))</f>
        <v>20.5</v>
      </c>
    </row>
    <row r="172" spans="2:7" x14ac:dyDescent="0.3">
      <c r="B172" s="7" t="s">
        <v>101</v>
      </c>
      <c r="C172" s="10" t="s">
        <v>85</v>
      </c>
      <c r="D172" s="21">
        <f>D171+365</f>
        <v>488.5</v>
      </c>
      <c r="E172" s="21"/>
      <c r="F172" s="21">
        <f>F9-(F12-365)+F11/2</f>
        <v>339.5</v>
      </c>
    </row>
    <row r="173" spans="2:7" x14ac:dyDescent="0.3">
      <c r="B173" s="7" t="s">
        <v>86</v>
      </c>
      <c r="C173" s="10" t="s">
        <v>0</v>
      </c>
      <c r="D173" s="7">
        <f>VLOOKUP(D26,B166:D168,3,0)</f>
        <v>44</v>
      </c>
      <c r="E173" s="7"/>
      <c r="F173" s="22">
        <f>VLOOKUP(F26,B166:D168,3,0)</f>
        <v>44</v>
      </c>
    </row>
    <row r="174" spans="2:7" x14ac:dyDescent="0.3">
      <c r="B174" s="7" t="s">
        <v>87</v>
      </c>
      <c r="C174" s="7" t="s">
        <v>0</v>
      </c>
      <c r="D174" s="7">
        <f>VLOOKUP(D26,B166:F168,5,0)</f>
        <v>41</v>
      </c>
      <c r="E174" s="7"/>
      <c r="F174" s="7">
        <f>VLOOKUP(F26,B166:F168,5,0)</f>
        <v>41</v>
      </c>
    </row>
    <row r="175" spans="2:7" x14ac:dyDescent="0.3">
      <c r="B175" s="94" t="s">
        <v>90</v>
      </c>
      <c r="C175" s="14" t="s">
        <v>88</v>
      </c>
      <c r="D175" s="15">
        <f>D173+D171*D179</f>
        <v>198.375</v>
      </c>
      <c r="E175" s="15"/>
      <c r="F175" s="15">
        <f>F173+F171*F179</f>
        <v>69.625</v>
      </c>
    </row>
    <row r="176" spans="2:7" x14ac:dyDescent="0.3">
      <c r="B176" s="94" t="s">
        <v>91</v>
      </c>
      <c r="C176" s="14" t="s">
        <v>88</v>
      </c>
      <c r="D176" s="15">
        <f>D174+D171*D180</f>
        <v>170.67500000000001</v>
      </c>
      <c r="E176" s="15"/>
      <c r="F176" s="15">
        <f>F174+F171*F180</f>
        <v>62.525000000000006</v>
      </c>
    </row>
    <row r="177" spans="2:6" x14ac:dyDescent="0.3">
      <c r="B177" s="11" t="s">
        <v>92</v>
      </c>
      <c r="C177" s="13" t="s">
        <v>88</v>
      </c>
      <c r="D177" s="25">
        <f>D33+(D172-D15)*D181</f>
        <v>449.45</v>
      </c>
      <c r="E177" s="25"/>
      <c r="F177" s="25">
        <f>F33+(F172-F15)*F181</f>
        <v>342</v>
      </c>
    </row>
    <row r="178" spans="2:6" x14ac:dyDescent="0.3">
      <c r="B178" s="11" t="s">
        <v>93</v>
      </c>
      <c r="C178" s="13" t="s">
        <v>88</v>
      </c>
      <c r="D178" s="87">
        <v>880</v>
      </c>
      <c r="E178" s="11"/>
      <c r="F178" s="90">
        <v>880</v>
      </c>
    </row>
    <row r="179" spans="2:6" x14ac:dyDescent="0.3">
      <c r="B179" s="11" t="s">
        <v>102</v>
      </c>
      <c r="C179" s="13" t="s">
        <v>88</v>
      </c>
      <c r="D179" s="11">
        <f>D29/1000</f>
        <v>1.25</v>
      </c>
      <c r="E179" s="11"/>
      <c r="F179" s="11">
        <f>F29/1000</f>
        <v>1.25</v>
      </c>
    </row>
    <row r="180" spans="2:6" x14ac:dyDescent="0.3">
      <c r="B180" s="11" t="s">
        <v>103</v>
      </c>
      <c r="C180" s="13" t="s">
        <v>88</v>
      </c>
      <c r="D180" s="11">
        <f>D30/1000</f>
        <v>1.05</v>
      </c>
      <c r="E180" s="11"/>
      <c r="F180" s="11">
        <f>F30/1000</f>
        <v>1.05</v>
      </c>
    </row>
    <row r="181" spans="2:6" x14ac:dyDescent="0.3">
      <c r="B181" s="11" t="s">
        <v>94</v>
      </c>
      <c r="C181" s="13" t="s">
        <v>88</v>
      </c>
      <c r="D181" s="88">
        <v>0.7</v>
      </c>
      <c r="E181" s="23"/>
      <c r="F181" s="88">
        <v>0.7</v>
      </c>
    </row>
    <row r="182" spans="2:6" x14ac:dyDescent="0.3">
      <c r="B182" s="95" t="s">
        <v>95</v>
      </c>
      <c r="C182" s="16" t="s">
        <v>88</v>
      </c>
      <c r="D182" s="89">
        <v>0.3</v>
      </c>
      <c r="E182" s="24"/>
      <c r="F182" s="89">
        <v>0.3</v>
      </c>
    </row>
    <row r="185" spans="2:6" x14ac:dyDescent="0.3">
      <c r="B185" s="60" t="s">
        <v>104</v>
      </c>
      <c r="C185" s="60" t="s">
        <v>105</v>
      </c>
      <c r="D185" s="99" t="s">
        <v>162</v>
      </c>
      <c r="E185" s="99"/>
      <c r="F185" s="99" t="s">
        <v>163</v>
      </c>
    </row>
    <row r="186" spans="2:6" x14ac:dyDescent="0.3">
      <c r="B186" s="96" t="s">
        <v>106</v>
      </c>
      <c r="C186" s="28"/>
      <c r="D186" s="27"/>
      <c r="E186" s="27"/>
      <c r="F186" s="29"/>
    </row>
    <row r="187" spans="2:6" x14ac:dyDescent="0.3">
      <c r="B187" s="11" t="s">
        <v>107</v>
      </c>
      <c r="C187" s="13"/>
      <c r="D187" s="23">
        <v>0.6</v>
      </c>
      <c r="E187" s="23"/>
      <c r="F187" s="23">
        <v>0.6</v>
      </c>
    </row>
    <row r="188" spans="2:6" x14ac:dyDescent="0.3">
      <c r="B188" s="11" t="s">
        <v>108</v>
      </c>
      <c r="C188" s="13"/>
      <c r="D188" s="23">
        <f>0.35*D187+0.503</f>
        <v>0.71299999999999997</v>
      </c>
      <c r="E188" s="23"/>
      <c r="F188" s="23">
        <f>0.35*F187+0.503</f>
        <v>0.71299999999999997</v>
      </c>
    </row>
    <row r="189" spans="2:6" x14ac:dyDescent="0.3">
      <c r="B189" s="11" t="s">
        <v>109</v>
      </c>
      <c r="C189" s="13"/>
      <c r="D189" s="23">
        <f>0.78*D187+0.006</f>
        <v>0.47399999999999998</v>
      </c>
      <c r="E189" s="23"/>
      <c r="F189" s="23">
        <f>0.78*F187+0.006</f>
        <v>0.47399999999999998</v>
      </c>
    </row>
    <row r="190" spans="2:6" x14ac:dyDescent="0.3">
      <c r="B190" s="11" t="s">
        <v>110</v>
      </c>
      <c r="C190" s="13"/>
      <c r="D190" s="30">
        <f>D147</f>
        <v>1.075</v>
      </c>
      <c r="E190" s="30"/>
      <c r="F190" s="30">
        <f>F147</f>
        <v>1.075</v>
      </c>
    </row>
    <row r="191" spans="2:6" x14ac:dyDescent="0.3">
      <c r="B191" s="11" t="s">
        <v>111</v>
      </c>
      <c r="C191" s="13"/>
      <c r="D191" s="30">
        <v>1</v>
      </c>
      <c r="E191" s="30"/>
      <c r="F191" s="30">
        <v>1</v>
      </c>
    </row>
    <row r="192" spans="2:6" x14ac:dyDescent="0.3">
      <c r="B192" s="11" t="s">
        <v>112</v>
      </c>
      <c r="C192" s="13" t="s">
        <v>113</v>
      </c>
      <c r="D192" s="23">
        <f>D181</f>
        <v>0.7</v>
      </c>
      <c r="E192" s="23"/>
      <c r="F192" s="23">
        <f>F181</f>
        <v>0.7</v>
      </c>
    </row>
    <row r="193" spans="2:6" x14ac:dyDescent="0.3">
      <c r="B193" s="11" t="s">
        <v>114</v>
      </c>
      <c r="C193" s="13" t="s">
        <v>88</v>
      </c>
      <c r="D193" s="12">
        <f>D177</f>
        <v>449.45</v>
      </c>
      <c r="E193" s="12"/>
      <c r="F193" s="12">
        <f>F177</f>
        <v>342</v>
      </c>
    </row>
    <row r="194" spans="2:6" x14ac:dyDescent="0.3">
      <c r="B194" s="11" t="s">
        <v>115</v>
      </c>
      <c r="C194" s="13" t="s">
        <v>3</v>
      </c>
      <c r="D194" s="23">
        <f xml:space="preserve"> ((4.1+0.0332*D193-0.000009*D193*D193)/(1-0.1475*D192))*D192*D190</f>
        <v>14.436329455052965</v>
      </c>
      <c r="E194" s="23"/>
      <c r="F194" s="23">
        <f xml:space="preserve"> ((4.1+0.0332*F193-0.000009*F193*F193)/(1-0.1475*F192))*F192*F190</f>
        <v>12.085082029551154</v>
      </c>
    </row>
    <row r="195" spans="2:6" x14ac:dyDescent="0.3">
      <c r="B195" s="11" t="s">
        <v>116</v>
      </c>
      <c r="C195" s="13" t="s">
        <v>3</v>
      </c>
      <c r="D195" s="23">
        <f>0.53*EXP(0.67*LN((D193/1.08)))*D191+0.0071*D193</f>
        <v>33.333540282866743</v>
      </c>
      <c r="E195" s="23"/>
      <c r="F195" s="23">
        <f>0.53*EXP(0.67*LN((F193/1.08)))*F191+0.0071*F193</f>
        <v>27.528530762374839</v>
      </c>
    </row>
    <row r="196" spans="2:6" x14ac:dyDescent="0.3">
      <c r="B196" s="11" t="s">
        <v>117</v>
      </c>
      <c r="C196" s="13" t="s">
        <v>120</v>
      </c>
      <c r="D196" s="23">
        <f xml:space="preserve"> D195/(D188*LN(D188/D189))*LN((D188/(D188-D189))/(D188/(D188-D189)-D194/D195-1))</f>
        <v>74.963297401633184</v>
      </c>
      <c r="E196" s="23"/>
      <c r="F196" s="23">
        <f xml:space="preserve"> F195/(F188*LN(F188/F189))*LN((F188/(F188-F189))/(F188/(F188-F189)-F194/F195-1))</f>
        <v>62.270021951352959</v>
      </c>
    </row>
    <row r="197" spans="2:6" x14ac:dyDescent="0.3">
      <c r="B197" s="7"/>
      <c r="C197" s="7"/>
      <c r="D197" s="26"/>
      <c r="E197" s="26"/>
      <c r="F197" s="26"/>
    </row>
    <row r="198" spans="2:6" x14ac:dyDescent="0.3">
      <c r="B198" s="86" t="s">
        <v>104</v>
      </c>
      <c r="C198" s="86" t="s">
        <v>121</v>
      </c>
      <c r="D198" s="99" t="s">
        <v>162</v>
      </c>
      <c r="E198" s="99"/>
      <c r="F198" s="99" t="s">
        <v>163</v>
      </c>
    </row>
    <row r="199" spans="2:6" x14ac:dyDescent="0.3">
      <c r="B199" s="96" t="s">
        <v>106</v>
      </c>
      <c r="C199" s="28"/>
      <c r="D199" s="27"/>
      <c r="E199" s="27"/>
      <c r="F199" s="29"/>
    </row>
    <row r="200" spans="2:6" x14ac:dyDescent="0.3">
      <c r="B200" s="11" t="s">
        <v>107</v>
      </c>
      <c r="C200" s="13"/>
      <c r="D200" s="23">
        <v>0.6</v>
      </c>
      <c r="E200" s="23"/>
      <c r="F200" s="23">
        <v>0.6</v>
      </c>
    </row>
    <row r="201" spans="2:6" x14ac:dyDescent="0.3">
      <c r="B201" s="11" t="s">
        <v>108</v>
      </c>
      <c r="C201" s="13"/>
      <c r="D201" s="23">
        <f>0.35*D200+0.503</f>
        <v>0.71299999999999997</v>
      </c>
      <c r="E201" s="23"/>
      <c r="F201" s="23">
        <f>0.35*F200+0.503</f>
        <v>0.71299999999999997</v>
      </c>
    </row>
    <row r="202" spans="2:6" x14ac:dyDescent="0.3">
      <c r="B202" s="11" t="s">
        <v>109</v>
      </c>
      <c r="C202" s="13"/>
      <c r="D202" s="23">
        <f>0.78*D200+0.006</f>
        <v>0.47399999999999998</v>
      </c>
      <c r="E202" s="23"/>
      <c r="F202" s="23">
        <f>0.78*F200+0.006</f>
        <v>0.47399999999999998</v>
      </c>
    </row>
    <row r="203" spans="2:6" x14ac:dyDescent="0.3">
      <c r="B203" s="11" t="s">
        <v>110</v>
      </c>
      <c r="C203" s="13"/>
      <c r="D203" s="30">
        <f>D146</f>
        <v>0.77500000000000002</v>
      </c>
      <c r="E203" s="30"/>
      <c r="F203" s="30">
        <f>F146</f>
        <v>0.77500000000000002</v>
      </c>
    </row>
    <row r="204" spans="2:6" x14ac:dyDescent="0.3">
      <c r="B204" s="11" t="s">
        <v>111</v>
      </c>
      <c r="C204" s="13"/>
      <c r="D204" s="30">
        <v>1.1499999999999999</v>
      </c>
      <c r="E204" s="30"/>
      <c r="F204" s="30">
        <v>1.1499999999999999</v>
      </c>
    </row>
    <row r="205" spans="2:6" x14ac:dyDescent="0.3">
      <c r="B205" s="11" t="s">
        <v>112</v>
      </c>
      <c r="C205" s="13" t="s">
        <v>113</v>
      </c>
      <c r="D205" s="23">
        <f>D182</f>
        <v>0.3</v>
      </c>
      <c r="E205" s="23"/>
      <c r="F205" s="23">
        <f>F182</f>
        <v>0.3</v>
      </c>
    </row>
    <row r="206" spans="2:6" x14ac:dyDescent="0.3">
      <c r="B206" s="11" t="s">
        <v>114</v>
      </c>
      <c r="C206" s="13" t="s">
        <v>88</v>
      </c>
      <c r="D206" s="12">
        <f>D178</f>
        <v>880</v>
      </c>
      <c r="E206" s="12"/>
      <c r="F206" s="12">
        <f>F178</f>
        <v>880</v>
      </c>
    </row>
    <row r="207" spans="2:6" x14ac:dyDescent="0.3">
      <c r="B207" s="11" t="s">
        <v>115</v>
      </c>
      <c r="C207" s="13" t="s">
        <v>3</v>
      </c>
      <c r="D207" s="23">
        <f xml:space="preserve"> ((4.1+0.0332*D206-0.000009*D206*D206)/(1-0.1475*D205))*D205*D203</f>
        <v>6.4091425582003669</v>
      </c>
      <c r="E207" s="23"/>
      <c r="F207" s="23">
        <f xml:space="preserve"> ((4.1+0.0332*F206-0.000009*F206*F206)/(1-0.1475*F205))*F205*F203</f>
        <v>6.4091425582003669</v>
      </c>
    </row>
    <row r="208" spans="2:6" x14ac:dyDescent="0.3">
      <c r="B208" s="11" t="s">
        <v>116</v>
      </c>
      <c r="C208" s="13" t="s">
        <v>3</v>
      </c>
      <c r="D208" s="23">
        <f>0.53*EXP(0.67*LN((D206/1.08)))*D204+0.0071*D206</f>
        <v>60.620986040343013</v>
      </c>
      <c r="E208" s="23"/>
      <c r="F208" s="23">
        <f>0.53*EXP(0.67*LN((F206/1.08)))*F204+0.0071*F206</f>
        <v>60.620986040343013</v>
      </c>
    </row>
    <row r="209" spans="2:6" x14ac:dyDescent="0.3">
      <c r="B209" s="11" t="s">
        <v>117</v>
      </c>
      <c r="C209" s="13" t="s">
        <v>3</v>
      </c>
      <c r="D209" s="23">
        <f xml:space="preserve"> D208/(D201*LN(D201/D202))*LN((D201/(D201-D202))/(D201/(D201-D202)-D207/D208-1))</f>
        <v>96.430685520553141</v>
      </c>
      <c r="E209" s="23"/>
      <c r="F209" s="23">
        <f xml:space="preserve"> F208/(F201*LN(F201/F202))*LN((F201/(F201-F202))/(F201/(F201-F202)-F207/F208-1))</f>
        <v>96.430685520553141</v>
      </c>
    </row>
    <row r="210" spans="2:6" x14ac:dyDescent="0.3">
      <c r="B210" s="7" t="s">
        <v>118</v>
      </c>
      <c r="C210" s="13" t="s">
        <v>1</v>
      </c>
      <c r="D210" s="31">
        <v>10</v>
      </c>
      <c r="E210" s="31"/>
      <c r="F210" s="31">
        <v>10</v>
      </c>
    </row>
    <row r="211" spans="2:6" x14ac:dyDescent="0.3">
      <c r="B211" s="95" t="s">
        <v>119</v>
      </c>
      <c r="C211" s="16" t="s">
        <v>120</v>
      </c>
      <c r="D211" s="32">
        <f>D209*(1+D210/100)</f>
        <v>106.07375407260847</v>
      </c>
      <c r="E211" s="32"/>
      <c r="F211" s="32">
        <f>F209*(1+F210/100)</f>
        <v>106.07375407260847</v>
      </c>
    </row>
    <row r="212" spans="2:6" x14ac:dyDescent="0.3">
      <c r="B212" s="7"/>
      <c r="C212" s="7"/>
      <c r="D212" s="26"/>
      <c r="E212" s="26"/>
      <c r="F212" s="26"/>
    </row>
    <row r="213" spans="2:6" x14ac:dyDescent="0.3">
      <c r="B213" s="86" t="s">
        <v>104</v>
      </c>
      <c r="C213" s="86" t="s">
        <v>122</v>
      </c>
      <c r="D213" s="99" t="s">
        <v>162</v>
      </c>
      <c r="E213" s="99"/>
      <c r="F213" s="99" t="s">
        <v>163</v>
      </c>
    </row>
    <row r="214" spans="2:6" x14ac:dyDescent="0.3">
      <c r="B214" s="96" t="s">
        <v>106</v>
      </c>
      <c r="C214" s="28"/>
      <c r="D214" s="27"/>
      <c r="E214" s="27"/>
      <c r="F214" s="29"/>
    </row>
    <row r="215" spans="2:6" x14ac:dyDescent="0.3">
      <c r="B215" s="11" t="s">
        <v>107</v>
      </c>
      <c r="C215" s="13"/>
      <c r="D215" s="23">
        <v>0.6</v>
      </c>
      <c r="E215" s="23"/>
      <c r="F215" s="23">
        <v>0.6</v>
      </c>
    </row>
    <row r="216" spans="2:6" x14ac:dyDescent="0.3">
      <c r="B216" s="11" t="s">
        <v>108</v>
      </c>
      <c r="C216" s="13"/>
      <c r="D216" s="23">
        <f>0.35*D215+0.503</f>
        <v>0.71299999999999997</v>
      </c>
      <c r="E216" s="23"/>
      <c r="F216" s="23">
        <f>0.35*F215+0.503</f>
        <v>0.71299999999999997</v>
      </c>
    </row>
    <row r="217" spans="2:6" x14ac:dyDescent="0.3">
      <c r="B217" s="11" t="s">
        <v>109</v>
      </c>
      <c r="C217" s="13"/>
      <c r="D217" s="23">
        <f>0.78*D215+0.006</f>
        <v>0.47399999999999998</v>
      </c>
      <c r="E217" s="23"/>
      <c r="F217" s="23">
        <f>0.78*F215+0.006</f>
        <v>0.47399999999999998</v>
      </c>
    </row>
    <row r="218" spans="2:6" x14ac:dyDescent="0.3">
      <c r="B218" s="11" t="s">
        <v>110</v>
      </c>
      <c r="C218" s="13"/>
      <c r="D218" s="30">
        <f>D146</f>
        <v>0.77500000000000002</v>
      </c>
      <c r="E218" s="30"/>
      <c r="F218" s="30">
        <f>F146</f>
        <v>0.77500000000000002</v>
      </c>
    </row>
    <row r="219" spans="2:6" x14ac:dyDescent="0.3">
      <c r="B219" s="11" t="s">
        <v>111</v>
      </c>
      <c r="C219" s="13"/>
      <c r="D219" s="30">
        <v>1.1499999999999999</v>
      </c>
      <c r="E219" s="30"/>
      <c r="F219" s="30">
        <v>1.1499999999999999</v>
      </c>
    </row>
    <row r="220" spans="2:6" x14ac:dyDescent="0.3">
      <c r="B220" s="11" t="s">
        <v>112</v>
      </c>
      <c r="C220" s="13" t="s">
        <v>113</v>
      </c>
      <c r="D220" s="23">
        <f>D179</f>
        <v>1.25</v>
      </c>
      <c r="E220" s="23"/>
      <c r="F220" s="23">
        <f>F179</f>
        <v>1.25</v>
      </c>
    </row>
    <row r="221" spans="2:6" x14ac:dyDescent="0.3">
      <c r="B221" s="11" t="s">
        <v>114</v>
      </c>
      <c r="C221" s="13" t="s">
        <v>88</v>
      </c>
      <c r="D221" s="12">
        <f>D175</f>
        <v>198.375</v>
      </c>
      <c r="E221" s="12"/>
      <c r="F221" s="12">
        <f>F175</f>
        <v>69.625</v>
      </c>
    </row>
    <row r="222" spans="2:6" x14ac:dyDescent="0.3">
      <c r="B222" s="11" t="s">
        <v>115</v>
      </c>
      <c r="C222" s="13" t="s">
        <v>3</v>
      </c>
      <c r="D222" s="23">
        <f xml:space="preserve"> ((4.1+0.0332*D221-0.000009*D221*D221)/(1-0.1475*D220))*D220*D218</f>
        <v>12.271577136613985</v>
      </c>
      <c r="E222" s="23"/>
      <c r="F222" s="23">
        <f xml:space="preserve"> ((4.1+0.0332*F221-0.000009*F221*F221)/(1-0.1475*F220))*F220*F218</f>
        <v>7.5634313511733717</v>
      </c>
    </row>
    <row r="223" spans="2:6" x14ac:dyDescent="0.3">
      <c r="B223" s="11" t="s">
        <v>116</v>
      </c>
      <c r="C223" s="13" t="s">
        <v>3</v>
      </c>
      <c r="D223" s="23">
        <f>0.53*EXP(0.67*LN((D221/1.08)))*D219+0.0071*D221</f>
        <v>21.448385265758841</v>
      </c>
      <c r="E223" s="23"/>
      <c r="F223" s="23">
        <f>0.53*EXP(0.67*LN((F221/1.08)))*F219+0.0071*F221</f>
        <v>10.430815681631858</v>
      </c>
    </row>
    <row r="224" spans="2:6" x14ac:dyDescent="0.3">
      <c r="B224" s="11" t="s">
        <v>117</v>
      </c>
      <c r="C224" s="13" t="s">
        <v>3</v>
      </c>
      <c r="D224" s="23">
        <f xml:space="preserve"> D223/(D216*LN(D216/D217))*LN((D216/(D216-D217))/(D216/(D216-D217)-D222/D223-1))</f>
        <v>55.159875638709238</v>
      </c>
      <c r="E224" s="23"/>
      <c r="F224" s="23">
        <f xml:space="preserve"> F223/(F216*LN(F216/F217))*LN((F216/(F216-F217))/(F216/(F216-F217)-F222/F223-1))</f>
        <v>30.936628649051023</v>
      </c>
    </row>
    <row r="225" spans="2:6" x14ac:dyDescent="0.3">
      <c r="B225" s="7" t="s">
        <v>118</v>
      </c>
      <c r="C225" s="13" t="s">
        <v>1</v>
      </c>
      <c r="D225" s="31">
        <v>10</v>
      </c>
      <c r="E225" s="31"/>
      <c r="F225" s="31">
        <v>10</v>
      </c>
    </row>
    <row r="226" spans="2:6" x14ac:dyDescent="0.3">
      <c r="B226" s="95" t="s">
        <v>119</v>
      </c>
      <c r="C226" s="16" t="s">
        <v>120</v>
      </c>
      <c r="D226" s="32">
        <f>D224*(1+D225/100)</f>
        <v>60.675863202580167</v>
      </c>
      <c r="E226" s="32"/>
      <c r="F226" s="32">
        <f>F224*(1+F225/100)</f>
        <v>34.030291513956129</v>
      </c>
    </row>
    <row r="227" spans="2:6" x14ac:dyDescent="0.3">
      <c r="B227" s="7"/>
      <c r="C227" s="7"/>
      <c r="D227" s="26"/>
      <c r="E227" s="26"/>
      <c r="F227" s="26"/>
    </row>
    <row r="228" spans="2:6" x14ac:dyDescent="0.3">
      <c r="B228" s="86" t="s">
        <v>104</v>
      </c>
      <c r="C228" s="86" t="s">
        <v>123</v>
      </c>
      <c r="D228" s="99" t="s">
        <v>162</v>
      </c>
      <c r="E228" s="99"/>
      <c r="F228" s="99" t="s">
        <v>163</v>
      </c>
    </row>
    <row r="229" spans="2:6" x14ac:dyDescent="0.3">
      <c r="B229" s="96" t="s">
        <v>106</v>
      </c>
      <c r="C229" s="28"/>
      <c r="D229" s="27"/>
      <c r="E229" s="27"/>
      <c r="F229" s="29"/>
    </row>
    <row r="230" spans="2:6" x14ac:dyDescent="0.3">
      <c r="B230" s="11" t="s">
        <v>107</v>
      </c>
      <c r="C230" s="13"/>
      <c r="D230" s="23">
        <v>0.6</v>
      </c>
      <c r="E230" s="23"/>
      <c r="F230" s="23">
        <v>0.6</v>
      </c>
    </row>
    <row r="231" spans="2:6" x14ac:dyDescent="0.3">
      <c r="B231" s="11" t="s">
        <v>108</v>
      </c>
      <c r="C231" s="13"/>
      <c r="D231" s="23">
        <f>0.35*D230+0.503</f>
        <v>0.71299999999999997</v>
      </c>
      <c r="E231" s="23"/>
      <c r="F231" s="23">
        <f>0.35*F230+0.503</f>
        <v>0.71299999999999997</v>
      </c>
    </row>
    <row r="232" spans="2:6" x14ac:dyDescent="0.3">
      <c r="B232" s="11" t="s">
        <v>109</v>
      </c>
      <c r="C232" s="13"/>
      <c r="D232" s="23">
        <f>0.78*D230+0.006</f>
        <v>0.47399999999999998</v>
      </c>
      <c r="E232" s="23"/>
      <c r="F232" s="23">
        <f>0.78*F230+0.006</f>
        <v>0.47399999999999998</v>
      </c>
    </row>
    <row r="233" spans="2:6" x14ac:dyDescent="0.3">
      <c r="B233" s="11" t="s">
        <v>110</v>
      </c>
      <c r="C233" s="13"/>
      <c r="D233" s="30">
        <f>D147</f>
        <v>1.075</v>
      </c>
      <c r="E233" s="30"/>
      <c r="F233" s="30">
        <f>F147</f>
        <v>1.075</v>
      </c>
    </row>
    <row r="234" spans="2:6" x14ac:dyDescent="0.3">
      <c r="B234" s="11" t="s">
        <v>111</v>
      </c>
      <c r="C234" s="13"/>
      <c r="D234" s="30">
        <v>1</v>
      </c>
      <c r="E234" s="30"/>
      <c r="F234" s="30">
        <v>1</v>
      </c>
    </row>
    <row r="235" spans="2:6" x14ac:dyDescent="0.3">
      <c r="B235" s="11" t="s">
        <v>112</v>
      </c>
      <c r="C235" s="13" t="s">
        <v>113</v>
      </c>
      <c r="D235" s="23">
        <f>D180</f>
        <v>1.05</v>
      </c>
      <c r="E235" s="23"/>
      <c r="F235" s="23">
        <f>F180</f>
        <v>1.05</v>
      </c>
    </row>
    <row r="236" spans="2:6" x14ac:dyDescent="0.3">
      <c r="B236" s="11" t="s">
        <v>114</v>
      </c>
      <c r="C236" s="13" t="s">
        <v>88</v>
      </c>
      <c r="D236" s="12">
        <f>D176</f>
        <v>170.67500000000001</v>
      </c>
      <c r="E236" s="12"/>
      <c r="F236" s="12">
        <f>F176</f>
        <v>62.525000000000006</v>
      </c>
    </row>
    <row r="237" spans="2:6" x14ac:dyDescent="0.3">
      <c r="B237" s="11" t="s">
        <v>115</v>
      </c>
      <c r="C237" s="13" t="s">
        <v>3</v>
      </c>
      <c r="D237" s="23">
        <f xml:space="preserve"> ((4.1+0.0332*D236-0.000009*D236*D236)/(1-0.1475*D235))*D235*D233</f>
        <v>12.693875285661331</v>
      </c>
      <c r="E237" s="23"/>
      <c r="F237" s="23">
        <f xml:space="preserve"> ((4.1+0.0332*F236-0.000009*F236*F236)/(1-0.1475*F235))*F235*F233</f>
        <v>8.2014539184967088</v>
      </c>
    </row>
    <row r="238" spans="2:6" x14ac:dyDescent="0.3">
      <c r="B238" s="11" t="s">
        <v>116</v>
      </c>
      <c r="C238" s="13" t="s">
        <v>3</v>
      </c>
      <c r="D238" s="23">
        <f>0.53*EXP(0.67*LN((D236/1.08)))*D234+0.0071*D236</f>
        <v>16.96742325156486</v>
      </c>
      <c r="E238" s="23"/>
      <c r="F238" s="23">
        <f>0.53*EXP(0.67*LN((F236/1.08)))*F234+0.0071*F236</f>
        <v>8.4835921283935374</v>
      </c>
    </row>
    <row r="239" spans="2:6" x14ac:dyDescent="0.3">
      <c r="B239" s="95" t="s">
        <v>117</v>
      </c>
      <c r="C239" s="16" t="s">
        <v>3</v>
      </c>
      <c r="D239" s="24">
        <f xml:space="preserve"> D238/(D231*LN(D231/D232))*LN((D231/(D231-D232))/(D231/(D231-D232)-D237/D238-1))</f>
        <v>51.400171770608623</v>
      </c>
      <c r="E239" s="24"/>
      <c r="F239" s="24">
        <f xml:space="preserve"> F238/(F231*LN(F231/F232))*LN((F231/(F231-F232))/(F231/(F231-F232)-F237/F238-1))</f>
        <v>31.376596701972797</v>
      </c>
    </row>
  </sheetData>
  <dataValidations count="1">
    <dataValidation type="list" allowBlank="1" showInputMessage="1" showErrorMessage="1" sqref="D25:F26" xr:uid="{50814CD1-F2CA-49BE-819E-C4161EFEFC01}">
      <formula1>$I$5:$I$7</formula1>
    </dataValidation>
  </dataValidations>
  <printOptions horizontalCentered="1"/>
  <pageMargins left="0.39370078740157483" right="0.39370078740157483" top="0.39370078740157483" bottom="0.39370078740157483" header="0.31496062992125984" footer="0.31496062992125984"/>
  <pageSetup paperSize="9" scale="95" orientation="portrait" r:id="rId1"/>
  <rowBreaks count="1" manualBreakCount="1">
    <brk id="53" max="6" man="1"/>
  </rowBreaks>
  <colBreaks count="1" manualBreakCount="1">
    <brk id="7"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H41" sqref="H41"/>
    </sheetView>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2</vt:i4>
      </vt:variant>
    </vt:vector>
  </HeadingPairs>
  <TitlesOfParts>
    <vt:vector size="6" baseType="lpstr">
      <vt:lpstr>Saate</vt:lpstr>
      <vt:lpstr>Laitumen sadon arviointia</vt:lpstr>
      <vt:lpstr>Taustalaskenta</vt:lpstr>
      <vt:lpstr>Syöntikaavat</vt:lpstr>
      <vt:lpstr>'Laitumen sadon arviointia'!Tulostusalue</vt:lpstr>
      <vt:lpstr>Taustalaskenta!Tulostusalue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Karsikas Tomi</dc:creator>
  <cp:lastModifiedBy>Karsikas, Tomi</cp:lastModifiedBy>
  <cp:lastPrinted>2019-09-16T20:30:57Z</cp:lastPrinted>
  <dcterms:created xsi:type="dcterms:W3CDTF">2017-11-25T10:50:31Z</dcterms:created>
  <dcterms:modified xsi:type="dcterms:W3CDTF">2021-10-01T09:12:59Z</dcterms:modified>
</cp:coreProperties>
</file>